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PERSONAL/"/>
    </mc:Choice>
  </mc:AlternateContent>
  <xr:revisionPtr revIDLastSave="0" documentId="13_ncr:1_{6BB8AF8B-446C-3C4F-A41A-A6092B14D6ED}" xr6:coauthVersionLast="47" xr6:coauthVersionMax="47" xr10:uidLastSave="{00000000-0000-0000-0000-000000000000}"/>
  <bookViews>
    <workbookView xWindow="0" yWindow="500" windowWidth="20740" windowHeight="11160" xr2:uid="{7D1C3336-FB7A-4B52-A615-227EF1AF2B4C}"/>
  </bookViews>
  <sheets>
    <sheet name="2025" sheetId="2" r:id="rId1"/>
    <sheet name="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5" i="3" l="1"/>
  <c r="H14" i="3"/>
  <c r="H13" i="3"/>
  <c r="H12" i="3"/>
  <c r="H11" i="3"/>
  <c r="H10" i="3"/>
  <c r="H9" i="3"/>
  <c r="H8" i="3"/>
  <c r="H7" i="3"/>
  <c r="H6" i="3"/>
  <c r="H5" i="3"/>
  <c r="H4" i="3"/>
  <c r="G15" i="3"/>
  <c r="G14" i="3"/>
  <c r="G13" i="3"/>
  <c r="G12" i="3"/>
  <c r="G11" i="3"/>
  <c r="G10" i="3"/>
  <c r="G9" i="3"/>
  <c r="G8" i="3"/>
  <c r="G7" i="3"/>
  <c r="G6" i="3"/>
  <c r="G5" i="3"/>
  <c r="G4" i="3"/>
  <c r="C15" i="3"/>
  <c r="C14" i="3"/>
  <c r="C13" i="3"/>
  <c r="C12" i="3"/>
  <c r="C11" i="3"/>
  <c r="C10" i="3"/>
  <c r="C9" i="3"/>
  <c r="C8" i="3"/>
  <c r="C7" i="3"/>
  <c r="C6" i="3"/>
  <c r="C4" i="3"/>
  <c r="C5" i="3"/>
  <c r="H14" i="2"/>
  <c r="H13" i="2"/>
  <c r="H12" i="2"/>
  <c r="H11" i="2"/>
  <c r="H10" i="2"/>
  <c r="H9" i="2"/>
  <c r="H8" i="2"/>
  <c r="H7" i="2"/>
  <c r="H6" i="2"/>
  <c r="H5" i="2"/>
  <c r="H4" i="2"/>
  <c r="H3" i="2"/>
  <c r="F14" i="2"/>
  <c r="F13" i="2"/>
  <c r="F12" i="2"/>
  <c r="G12" i="2" s="1"/>
  <c r="F11" i="2"/>
  <c r="G11" i="2" s="1"/>
  <c r="F10" i="2"/>
  <c r="F8" i="2"/>
  <c r="F7" i="2"/>
  <c r="G7" i="2" s="1"/>
  <c r="F6" i="2"/>
  <c r="F5" i="2"/>
  <c r="G5" i="2" s="1"/>
  <c r="F4" i="2"/>
  <c r="F3" i="2"/>
  <c r="E14" i="2"/>
  <c r="E13" i="2"/>
  <c r="E12" i="2"/>
  <c r="E11" i="2"/>
  <c r="E10" i="2"/>
  <c r="E8" i="2"/>
  <c r="E7" i="2"/>
  <c r="E6" i="2"/>
  <c r="E5" i="2"/>
  <c r="E4" i="2"/>
  <c r="E3" i="2"/>
  <c r="C14" i="2"/>
  <c r="C13" i="2"/>
  <c r="C12" i="2"/>
  <c r="C11" i="2"/>
  <c r="C10" i="2"/>
  <c r="G10" i="2" s="1"/>
  <c r="C9" i="2"/>
  <c r="C8" i="2"/>
  <c r="C7" i="2"/>
  <c r="C6" i="2"/>
  <c r="C5" i="2"/>
  <c r="C4" i="2"/>
  <c r="C3" i="2"/>
  <c r="G8" i="2"/>
  <c r="G9" i="2"/>
  <c r="G4" i="2" l="1"/>
  <c r="G13" i="2"/>
  <c r="G14" i="2"/>
  <c r="G6" i="2"/>
  <c r="G3" i="2"/>
</calcChain>
</file>

<file path=xl/sharedStrings.xml><?xml version="1.0" encoding="utf-8"?>
<sst xmlns="http://schemas.openxmlformats.org/spreadsheetml/2006/main" count="104" uniqueCount="52">
  <si>
    <t>En Ejecucion</t>
  </si>
  <si>
    <t>'2021011000248</t>
  </si>
  <si>
    <t>Fortalecimiento Fomento Y Promocion De La Practica Deportiva, Recreativa Y De Actividad Fisica En Colombia  Nacional</t>
  </si>
  <si>
    <t>Direccion de Fomento y Desarrollo</t>
  </si>
  <si>
    <t>'2021011000250</t>
  </si>
  <si>
    <t>Fortalecimiento Fortalecimiento Del Deporte Y La Educacion Fisica De Los Ninos, Ninas Y Adolescentes En Etapa Escolar  Nacional</t>
  </si>
  <si>
    <t>'2018011000092</t>
  </si>
  <si>
    <t>Desarrollo De Políticas Públicas E Investigación Sectorial A Nivel    Nacional</t>
  </si>
  <si>
    <t>Viceministerio</t>
  </si>
  <si>
    <t>'2018011000250</t>
  </si>
  <si>
    <t>Apoyo A La Inspección, Vigilancia Y Control A Nivel   Nacional</t>
  </si>
  <si>
    <t>Direccion de Inspeccion de Vigilancia y control</t>
  </si>
  <si>
    <t>'2018011000422</t>
  </si>
  <si>
    <t>Apoyo  Al Programa Al Control Dopaje   Nacional</t>
  </si>
  <si>
    <t>'2021011000262</t>
  </si>
  <si>
    <t>Desarrollo Del Deporte Olimpico, Paralimpico Y Nivel Mundial Para El Posicionamiento Y Liderazgo Deportivo  Nacional</t>
  </si>
  <si>
    <t>Direccion de prosicionamiento y liderazgo deportivo</t>
  </si>
  <si>
    <t>Fortalecimiento Del Laboratorio De Control Al Dopaje Deportivo Nacional</t>
  </si>
  <si>
    <t>Direccion de Recursos y Herramienta del sistema nacional del deporte</t>
  </si>
  <si>
    <t>'202300000000203</t>
  </si>
  <si>
    <t>Apoyo De La Infraestructura Deportiva, Recreativa Y De Alta Competencia En Colombia. Nacional</t>
  </si>
  <si>
    <t>'2021011000263</t>
  </si>
  <si>
    <t>Apoyo En El Desarrollo De Juegos Y Eventos Deportivos De Rendimiento Y Alto Rendimiento En Colombia Nacional</t>
  </si>
  <si>
    <t>'2018011000200</t>
  </si>
  <si>
    <t>Implementación De Las Tecnologías De La Información Y Comunicación Para El Sistema Nacional Del Deporte A Nivel    Nacional</t>
  </si>
  <si>
    <t>Secretaria General</t>
  </si>
  <si>
    <t>'2018011000349</t>
  </si>
  <si>
    <t>Mejoramiento Sedes Coldeportes  Bogotá</t>
  </si>
  <si>
    <t>'202300000000037</t>
  </si>
  <si>
    <t>Fortalecimiento De La Gestión Y Seguimiento Institucional Del Ministerio Del Deporte Nacional</t>
  </si>
  <si>
    <t>Oficina Asesora de planeacion</t>
  </si>
  <si>
    <r>
      <t>Ficha BPIN </t>
    </r>
    <r>
      <rPr>
        <sz val="10"/>
        <color rgb="FF000000"/>
        <rFont val="Nonito"/>
      </rPr>
      <t> </t>
    </r>
  </si>
  <si>
    <r>
      <t>Nombre del proyecto </t>
    </r>
    <r>
      <rPr>
        <sz val="10"/>
        <color rgb="FF000000"/>
        <rFont val="Nonito"/>
      </rPr>
      <t> </t>
    </r>
  </si>
  <si>
    <r>
      <t>Recurso asignado </t>
    </r>
    <r>
      <rPr>
        <sz val="10"/>
        <color rgb="FF000000"/>
        <rFont val="Nonito"/>
      </rPr>
      <t> </t>
    </r>
  </si>
  <si>
    <r>
      <t>Dependencia responsable </t>
    </r>
    <r>
      <rPr>
        <sz val="10"/>
        <color rgb="FF000000"/>
        <rFont val="Nonito"/>
      </rPr>
      <t> </t>
    </r>
  </si>
  <si>
    <r>
      <t>Valor Comprometido </t>
    </r>
    <r>
      <rPr>
        <sz val="10"/>
        <color rgb="FF000000"/>
        <rFont val="Nonito"/>
      </rPr>
      <t> </t>
    </r>
  </si>
  <si>
    <r>
      <t>Valor Obligado </t>
    </r>
    <r>
      <rPr>
        <sz val="10"/>
        <color rgb="FF000000"/>
        <rFont val="Nonito"/>
      </rPr>
      <t> </t>
    </r>
  </si>
  <si>
    <r>
      <t>% de ejecución </t>
    </r>
    <r>
      <rPr>
        <sz val="10"/>
        <color rgb="FF000000"/>
        <rFont val="Nonito"/>
      </rPr>
      <t> </t>
    </r>
  </si>
  <si>
    <r>
      <t>Saldo por ejecutar </t>
    </r>
    <r>
      <rPr>
        <sz val="10"/>
        <color rgb="FF000000"/>
        <rFont val="Nonito"/>
      </rPr>
      <t> </t>
    </r>
  </si>
  <si>
    <r>
      <t>Estado </t>
    </r>
    <r>
      <rPr>
        <sz val="10"/>
        <color rgb="FF000000"/>
        <rFont val="Nonito"/>
      </rPr>
      <t> </t>
    </r>
  </si>
  <si>
    <t>Despacho de la Ministra</t>
  </si>
  <si>
    <r>
      <t>Ficha BPIN </t>
    </r>
    <r>
      <rPr>
        <sz val="10"/>
        <color rgb="FF000000"/>
        <rFont val="Aptos Narrow"/>
        <family val="2"/>
        <scheme val="minor"/>
      </rPr>
      <t> </t>
    </r>
  </si>
  <si>
    <r>
      <t>Nombre del proyecto </t>
    </r>
    <r>
      <rPr>
        <sz val="10"/>
        <color rgb="FF000000"/>
        <rFont val="Aptos Narrow"/>
        <family val="2"/>
        <scheme val="minor"/>
      </rPr>
      <t> </t>
    </r>
  </si>
  <si>
    <r>
      <t>Recurso asignado </t>
    </r>
    <r>
      <rPr>
        <sz val="10"/>
        <color rgb="FF000000"/>
        <rFont val="Aptos Narrow"/>
        <family val="2"/>
        <scheme val="minor"/>
      </rPr>
      <t> </t>
    </r>
  </si>
  <si>
    <r>
      <t>Dependencia responsable </t>
    </r>
    <r>
      <rPr>
        <sz val="10"/>
        <color rgb="FF000000"/>
        <rFont val="Aptos Narrow"/>
        <family val="2"/>
        <scheme val="minor"/>
      </rPr>
      <t> </t>
    </r>
  </si>
  <si>
    <r>
      <t>Valor Comprometido </t>
    </r>
    <r>
      <rPr>
        <sz val="10"/>
        <color rgb="FF000000"/>
        <rFont val="Aptos Narrow"/>
        <family val="2"/>
        <scheme val="minor"/>
      </rPr>
      <t> </t>
    </r>
  </si>
  <si>
    <r>
      <t>Valor Obligado </t>
    </r>
    <r>
      <rPr>
        <sz val="10"/>
        <color rgb="FF000000"/>
        <rFont val="Aptos Narrow"/>
        <family val="2"/>
        <scheme val="minor"/>
      </rPr>
      <t> </t>
    </r>
  </si>
  <si>
    <r>
      <t>% de ejecución </t>
    </r>
    <r>
      <rPr>
        <sz val="10"/>
        <color rgb="FF000000"/>
        <rFont val="Aptos Narrow"/>
        <family val="2"/>
        <scheme val="minor"/>
      </rPr>
      <t> </t>
    </r>
  </si>
  <si>
    <r>
      <t>Saldo por ejecutar </t>
    </r>
    <r>
      <rPr>
        <sz val="10"/>
        <color rgb="FF000000"/>
        <rFont val="Aptos Narrow"/>
        <family val="2"/>
        <scheme val="minor"/>
      </rPr>
      <t> </t>
    </r>
  </si>
  <si>
    <r>
      <t>Estado </t>
    </r>
    <r>
      <rPr>
        <sz val="10"/>
        <color rgb="FF000000"/>
        <rFont val="Aptos Narrow"/>
        <family val="2"/>
        <scheme val="minor"/>
      </rPr>
      <t> </t>
    </r>
  </si>
  <si>
    <t>Proyectos de inversión vigencia 2025</t>
  </si>
  <si>
    <t>Proyectos de inversión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</si>
</sst>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#,##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Nonito"/>
    </font>
    <font>
      <b/>
      <sz val="10"/>
      <color rgb="FF000000"/>
      <name val="Nonito"/>
    </font>
    <font>
      <sz val="10"/>
      <color rgb="FF000000"/>
      <name val="Nonito"/>
    </font>
    <font>
      <sz val="10"/>
      <color theme="1"/>
      <name val="Nonito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28"/>
      <color rgb="FF000000"/>
      <name val="Aptos Narrow"/>
      <family val="2"/>
    </font>
    <font>
      <b/>
      <sz val="2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2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0" fontId="5" fillId="0" borderId="1" xfId="2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44" fontId="6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justify" vertical="top" wrapText="1"/>
    </xf>
    <xf numFmtId="44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horizontal="center" vertical="center" wrapText="1"/>
    </xf>
    <xf numFmtId="10" fontId="7" fillId="2" borderId="1" xfId="2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top" wrapText="1"/>
    </xf>
    <xf numFmtId="44" fontId="6" fillId="2" borderId="1" xfId="1" applyFont="1" applyFill="1" applyBorder="1" applyAlignment="1">
      <alignment vertical="center"/>
    </xf>
    <xf numFmtId="0" fontId="7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44" fontId="6" fillId="2" borderId="1" xfId="0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/>
    </xf>
    <xf numFmtId="44" fontId="0" fillId="0" borderId="0" xfId="0" applyNumberFormat="1"/>
    <xf numFmtId="1" fontId="6" fillId="3" borderId="1" xfId="0" applyNumberFormat="1" applyFont="1" applyFill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178594</xdr:colOff>
      <xdr:row>0</xdr:row>
      <xdr:rowOff>142875</xdr:rowOff>
    </xdr:from>
    <xdr:to>
      <xdr:col>8</xdr:col>
      <xdr:colOff>745332</xdr:colOff>
      <xdr:row>0</xdr:row>
      <xdr:rowOff>828675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2080D5-64F1-E0E7-0CB1-6BA1600E42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7739063" y="142875"/>
          <a:ext cx="13049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178594</xdr:colOff>
      <xdr:row>1</xdr:row>
      <xdr:rowOff>59531</xdr:rowOff>
    </xdr:from>
    <xdr:to>
      <xdr:col>8</xdr:col>
      <xdr:colOff>507206</xdr:colOff>
      <xdr:row>1</xdr:row>
      <xdr:rowOff>745331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33E504-AB40-DA6B-3992-48A61348FE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8667750" y="250031"/>
          <a:ext cx="13049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DF22-C4FA-411D-BAFC-18DC69B48D8C}">
  <dimension ref="A1:I14"/>
  <sheetViews>
    <sheetView tabSelected="1" view="pageBreakPreview" zoomScale="80" zoomScaleNormal="100" zoomScaleSheetLayoutView="80" workbookViewId="0">
      <selection activeCell="K2" sqref="K2"/>
    </sheetView>
  </sheetViews>
  <sheetFormatPr baseColWidth="10" defaultColWidth="11.5" defaultRowHeight="15"/>
  <cols>
    <col min="1" max="1" width="16.5" bestFit="1" customWidth="1"/>
    <col min="2" max="2" width="31.83203125" customWidth="1"/>
    <col min="3" max="3" width="10.5" bestFit="1" customWidth="1"/>
    <col min="4" max="4" width="19" customWidth="1"/>
    <col min="5" max="5" width="14.5" customWidth="1"/>
    <col min="6" max="6" width="10.5" customWidth="1"/>
    <col min="7" max="7" width="10.6640625" customWidth="1"/>
    <col min="8" max="8" width="11" customWidth="1"/>
    <col min="9" max="9" width="13.5" customWidth="1"/>
  </cols>
  <sheetData>
    <row r="1" spans="1:9" ht="81.75" customHeight="1">
      <c r="A1" s="41" t="s">
        <v>50</v>
      </c>
      <c r="B1" s="42"/>
      <c r="C1" s="42"/>
      <c r="D1" s="42"/>
      <c r="E1" s="42"/>
      <c r="F1" s="42"/>
      <c r="G1" s="42"/>
      <c r="H1" s="42"/>
      <c r="I1" s="43"/>
    </row>
    <row r="2" spans="1:9" ht="28">
      <c r="A2" s="4" t="s">
        <v>31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39</v>
      </c>
    </row>
    <row r="3" spans="1:9" ht="70.5" customHeight="1">
      <c r="A3" s="5" t="s">
        <v>1</v>
      </c>
      <c r="B3" s="14" t="s">
        <v>2</v>
      </c>
      <c r="C3" s="2">
        <f>80000000000/1000000</f>
        <v>80000</v>
      </c>
      <c r="D3" s="6" t="s">
        <v>3</v>
      </c>
      <c r="E3" s="2">
        <f>65311954041/1000000</f>
        <v>65311.954040999997</v>
      </c>
      <c r="F3" s="2">
        <f>27228205775.21/1000000</f>
        <v>27228.205775210001</v>
      </c>
      <c r="G3" s="2">
        <f>F3/C3</f>
        <v>0.34035257219012499</v>
      </c>
      <c r="H3" s="2">
        <f>3518912787.55/1000000</f>
        <v>3518.9127875500003</v>
      </c>
      <c r="I3" s="6" t="s">
        <v>0</v>
      </c>
    </row>
    <row r="4" spans="1:9" ht="64.5" customHeight="1">
      <c r="A4" s="7" t="s">
        <v>4</v>
      </c>
      <c r="B4" s="15" t="s">
        <v>5</v>
      </c>
      <c r="C4" s="1">
        <f>41017078763/1000000</f>
        <v>41017.078762999998</v>
      </c>
      <c r="D4" s="8" t="s">
        <v>3</v>
      </c>
      <c r="E4" s="1">
        <f>35119882631/1000000</f>
        <v>35119.882631</v>
      </c>
      <c r="F4" s="1">
        <f>2247052031.67/1000000</f>
        <v>2247.0520316699999</v>
      </c>
      <c r="G4" s="9">
        <f t="shared" ref="G4:G14" si="0">F4/C4</f>
        <v>5.4783326834503467E-2</v>
      </c>
      <c r="H4" s="1">
        <f>3518912787.55/1000000</f>
        <v>3518.9127875500003</v>
      </c>
      <c r="I4" s="10" t="s">
        <v>0</v>
      </c>
    </row>
    <row r="5" spans="1:9" ht="55.5" customHeight="1">
      <c r="A5" s="5" t="s">
        <v>6</v>
      </c>
      <c r="B5" s="14" t="s">
        <v>7</v>
      </c>
      <c r="C5" s="2">
        <f>1345730309/1000000</f>
        <v>1345.730309</v>
      </c>
      <c r="D5" s="11" t="s">
        <v>8</v>
      </c>
      <c r="E5" s="2">
        <f>1061203418/1000000</f>
        <v>1061.2034180000001</v>
      </c>
      <c r="F5" s="2">
        <f>676151978/1000000</f>
        <v>676.15197799999999</v>
      </c>
      <c r="G5" s="3">
        <f t="shared" si="0"/>
        <v>0.50244240876349322</v>
      </c>
      <c r="H5" s="2">
        <f>209196975/1000000</f>
        <v>209.19697500000001</v>
      </c>
      <c r="I5" s="6" t="s">
        <v>0</v>
      </c>
    </row>
    <row r="6" spans="1:9" ht="67.5" customHeight="1">
      <c r="A6" s="12" t="s">
        <v>9</v>
      </c>
      <c r="B6" s="16" t="s">
        <v>10</v>
      </c>
      <c r="C6" s="1">
        <f>2691460619/1000000</f>
        <v>2691.460619</v>
      </c>
      <c r="D6" s="13" t="s">
        <v>11</v>
      </c>
      <c r="E6" s="1">
        <f>2485080536/1000000</f>
        <v>2485.0805359999999</v>
      </c>
      <c r="F6" s="1">
        <f>1181130960.67/1000000</f>
        <v>1181.1309606700001</v>
      </c>
      <c r="G6" s="9">
        <f t="shared" si="0"/>
        <v>0.43884385761841244</v>
      </c>
      <c r="H6" s="1">
        <f>123930619/10000000</f>
        <v>12.393061899999999</v>
      </c>
      <c r="I6" s="10" t="s">
        <v>0</v>
      </c>
    </row>
    <row r="7" spans="1:9" ht="43.5" customHeight="1">
      <c r="A7" s="5" t="s">
        <v>12</v>
      </c>
      <c r="B7" s="14" t="s">
        <v>13</v>
      </c>
      <c r="C7" s="2">
        <f>2345730309/1000000</f>
        <v>2345.730309</v>
      </c>
      <c r="D7" s="6" t="s">
        <v>40</v>
      </c>
      <c r="E7" s="2">
        <f>1342080309/1000000</f>
        <v>1342.0803089999999</v>
      </c>
      <c r="F7" s="2">
        <f>1278676546.4/1000000</f>
        <v>1278.6765464</v>
      </c>
      <c r="G7" s="3">
        <f t="shared" si="0"/>
        <v>0.54510808062377303</v>
      </c>
      <c r="H7" s="2">
        <f>1003650000/1000000</f>
        <v>1003.65</v>
      </c>
      <c r="I7" s="6" t="s">
        <v>0</v>
      </c>
    </row>
    <row r="8" spans="1:9" ht="61.5" customHeight="1">
      <c r="A8" s="12" t="s">
        <v>14</v>
      </c>
      <c r="B8" s="16" t="s">
        <v>15</v>
      </c>
      <c r="C8" s="1">
        <f>118673530652/1000000</f>
        <v>118673.530652</v>
      </c>
      <c r="D8" s="13" t="s">
        <v>16</v>
      </c>
      <c r="E8" s="1">
        <f>74764094684.67/1000000</f>
        <v>74764.094684669995</v>
      </c>
      <c r="F8" s="1">
        <f>46557063157.26/1000000</f>
        <v>46557.063157260003</v>
      </c>
      <c r="G8" s="9">
        <f t="shared" si="0"/>
        <v>0.39231210954517409</v>
      </c>
      <c r="H8" s="1">
        <f>9845495542.41/1000000</f>
        <v>9845.495542409999</v>
      </c>
      <c r="I8" s="10" t="s">
        <v>0</v>
      </c>
    </row>
    <row r="9" spans="1:9" ht="72.75" customHeight="1">
      <c r="A9" s="5" t="s">
        <v>12</v>
      </c>
      <c r="B9" s="14" t="s">
        <v>17</v>
      </c>
      <c r="C9" s="2">
        <f>700000000/1000000</f>
        <v>700</v>
      </c>
      <c r="D9" s="6" t="s">
        <v>18</v>
      </c>
      <c r="E9" s="2">
        <v>0</v>
      </c>
      <c r="F9" s="2">
        <v>0</v>
      </c>
      <c r="G9" s="3">
        <f t="shared" si="0"/>
        <v>0</v>
      </c>
      <c r="H9" s="2">
        <f>480477749/1000000</f>
        <v>480.47774900000002</v>
      </c>
      <c r="I9" s="6" t="s">
        <v>0</v>
      </c>
    </row>
    <row r="10" spans="1:9" ht="70.5" customHeight="1">
      <c r="A10" s="12" t="s">
        <v>19</v>
      </c>
      <c r="B10" s="16" t="s">
        <v>20</v>
      </c>
      <c r="C10" s="1">
        <f>100000000000/1000000</f>
        <v>100000</v>
      </c>
      <c r="D10" s="13" t="s">
        <v>18</v>
      </c>
      <c r="E10" s="1">
        <f>41604716968.33/1000000</f>
        <v>41604.716968330002</v>
      </c>
      <c r="F10" s="1">
        <f>2000537497/1000000</f>
        <v>2000.537497</v>
      </c>
      <c r="G10" s="9">
        <f t="shared" si="0"/>
        <v>2.000537497E-2</v>
      </c>
      <c r="H10" s="1">
        <f>20210986336.34/1000000</f>
        <v>20210.98633634</v>
      </c>
      <c r="I10" s="10" t="s">
        <v>0</v>
      </c>
    </row>
    <row r="11" spans="1:9" ht="60" customHeight="1">
      <c r="A11" s="5" t="s">
        <v>21</v>
      </c>
      <c r="B11" s="14" t="s">
        <v>22</v>
      </c>
      <c r="C11" s="2">
        <f>35326469348/1000000</f>
        <v>35326.469347999999</v>
      </c>
      <c r="D11" s="6" t="s">
        <v>16</v>
      </c>
      <c r="E11" s="2">
        <f>26660265148.95/1000000</f>
        <v>26660.265148950002</v>
      </c>
      <c r="F11" s="2">
        <f>6398034234/1000000</f>
        <v>6398.0342339999997</v>
      </c>
      <c r="G11" s="3">
        <f t="shared" si="0"/>
        <v>0.18111162400559067</v>
      </c>
      <c r="H11" s="2">
        <f>679797261.71/1000000</f>
        <v>679.79726171000004</v>
      </c>
      <c r="I11" s="6" t="s">
        <v>0</v>
      </c>
    </row>
    <row r="12" spans="1:9" ht="72" customHeight="1">
      <c r="A12" s="12" t="s">
        <v>23</v>
      </c>
      <c r="B12" s="16" t="s">
        <v>24</v>
      </c>
      <c r="C12" s="1">
        <f>6000000000/1000000</f>
        <v>6000</v>
      </c>
      <c r="D12" s="13" t="s">
        <v>25</v>
      </c>
      <c r="E12" s="1">
        <f>2269133261.43/1000000</f>
        <v>2269.1332614299999</v>
      </c>
      <c r="F12" s="1">
        <f>800998080.5/10000000</f>
        <v>80.099808049999993</v>
      </c>
      <c r="G12" s="9">
        <f t="shared" si="0"/>
        <v>1.3349968008333333E-2</v>
      </c>
      <c r="H12" s="1">
        <f>787467603.1/1000000</f>
        <v>787.46760310000002</v>
      </c>
      <c r="I12" s="10" t="s">
        <v>0</v>
      </c>
    </row>
    <row r="13" spans="1:9">
      <c r="A13" s="5" t="s">
        <v>26</v>
      </c>
      <c r="B13" s="14" t="s">
        <v>27</v>
      </c>
      <c r="C13" s="2">
        <f>6500000000/1000000</f>
        <v>6500</v>
      </c>
      <c r="D13" s="6" t="s">
        <v>25</v>
      </c>
      <c r="E13" s="2">
        <f>5510284663.72/1000000</f>
        <v>5510.28466372</v>
      </c>
      <c r="F13" s="2">
        <f>2488626601.3/1000000</f>
        <v>2488.6266013000004</v>
      </c>
      <c r="G13" s="3">
        <f t="shared" si="0"/>
        <v>0.38286563096923082</v>
      </c>
      <c r="H13" s="2">
        <f>293113483/1000000</f>
        <v>293.11348299999997</v>
      </c>
      <c r="I13" s="6" t="s">
        <v>0</v>
      </c>
    </row>
    <row r="14" spans="1:9" ht="66" customHeight="1">
      <c r="A14" s="12" t="s">
        <v>28</v>
      </c>
      <c r="B14" s="16" t="s">
        <v>29</v>
      </c>
      <c r="C14" s="1">
        <f>5400000000/1000000</f>
        <v>5400</v>
      </c>
      <c r="D14" s="13" t="s">
        <v>30</v>
      </c>
      <c r="E14" s="1">
        <f>2406953750/1000000</f>
        <v>2406.9537500000001</v>
      </c>
      <c r="F14" s="1">
        <f>816040330.66/1000000</f>
        <v>816.04033066</v>
      </c>
      <c r="G14" s="9">
        <f t="shared" si="0"/>
        <v>0.15111857975185186</v>
      </c>
      <c r="H14" s="1">
        <f>1041910000/1000000</f>
        <v>1041.9100000000001</v>
      </c>
      <c r="I14" s="10" t="s">
        <v>0</v>
      </c>
    </row>
  </sheetData>
  <sheetProtection algorithmName="SHA-512" hashValue="RGsuMke465vKZJkyZBnTKA7FxhN8hdaIT5CL/9pcxtRbj9D23PBJnBqbZBtlafeCzDDRMewgvG4YBOh4Oww/gw==" saltValue="YzpWqkJpb9MIPP5decGmSA==" spinCount="100000" sheet="1" objects="1" scenarios="1"/>
  <mergeCells count="1">
    <mergeCell ref="A1:I1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03B9-8D90-4A50-BBCC-3346D1B81369}">
  <dimension ref="A2:I17"/>
  <sheetViews>
    <sheetView view="pageBreakPreview" zoomScale="80" zoomScaleNormal="100" zoomScaleSheetLayoutView="80" workbookViewId="0">
      <selection activeCell="A2" sqref="A2:I2"/>
    </sheetView>
  </sheetViews>
  <sheetFormatPr baseColWidth="10" defaultColWidth="11.5" defaultRowHeight="15"/>
  <cols>
    <col min="1" max="1" width="18.5" customWidth="1"/>
    <col min="2" max="2" width="30" customWidth="1"/>
    <col min="3" max="3" width="17.1640625" customWidth="1"/>
    <col min="4" max="4" width="20.1640625" customWidth="1"/>
    <col min="5" max="5" width="16.33203125" customWidth="1"/>
    <col min="6" max="6" width="14.1640625" customWidth="1"/>
    <col min="7" max="7" width="11" customWidth="1"/>
    <col min="8" max="8" width="14.5" customWidth="1"/>
    <col min="9" max="9" width="11.1640625" customWidth="1"/>
  </cols>
  <sheetData>
    <row r="2" spans="1:9" ht="60" customHeight="1">
      <c r="A2" s="44" t="s">
        <v>51</v>
      </c>
      <c r="B2" s="44"/>
      <c r="C2" s="44"/>
      <c r="D2" s="44"/>
      <c r="E2" s="44"/>
      <c r="F2" s="44"/>
      <c r="G2" s="44"/>
      <c r="H2" s="44"/>
      <c r="I2" s="44"/>
    </row>
    <row r="3" spans="1:9" ht="30">
      <c r="A3" s="31" t="s">
        <v>41</v>
      </c>
      <c r="B3" s="31" t="s">
        <v>42</v>
      </c>
      <c r="C3" s="31" t="s">
        <v>43</v>
      </c>
      <c r="D3" s="31" t="s">
        <v>44</v>
      </c>
      <c r="E3" s="31" t="s">
        <v>45</v>
      </c>
      <c r="F3" s="31" t="s">
        <v>46</v>
      </c>
      <c r="G3" s="31" t="s">
        <v>47</v>
      </c>
      <c r="H3" s="31" t="s">
        <v>48</v>
      </c>
      <c r="I3" s="31" t="s">
        <v>49</v>
      </c>
    </row>
    <row r="4" spans="1:9" ht="62.25" customHeight="1">
      <c r="A4" s="37">
        <v>2021011000248</v>
      </c>
      <c r="B4" s="19" t="s">
        <v>2</v>
      </c>
      <c r="C4" s="20">
        <f>22500000000/1000000</f>
        <v>22500</v>
      </c>
      <c r="D4" s="21" t="s">
        <v>3</v>
      </c>
      <c r="E4" s="22">
        <v>6225.6815720000004</v>
      </c>
      <c r="F4" s="22">
        <v>2960.3171993299998</v>
      </c>
      <c r="G4" s="23">
        <f>+E4/C4</f>
        <v>0.27669695875555556</v>
      </c>
      <c r="H4" s="22">
        <f>+C4-E4</f>
        <v>16274.318427999999</v>
      </c>
      <c r="I4" s="21" t="s">
        <v>0</v>
      </c>
    </row>
    <row r="5" spans="1:9" ht="79.5" customHeight="1">
      <c r="A5" s="39">
        <v>2021011000250</v>
      </c>
      <c r="B5" s="24" t="s">
        <v>5</v>
      </c>
      <c r="C5" s="17">
        <f>115000000000/1000000</f>
        <v>115000</v>
      </c>
      <c r="D5" s="25" t="s">
        <v>3</v>
      </c>
      <c r="E5" s="32">
        <v>114528.290255</v>
      </c>
      <c r="F5" s="32">
        <v>100884.77306666999</v>
      </c>
      <c r="G5" s="33">
        <f t="shared" ref="G5:G15" si="0">+E5/C5</f>
        <v>0.99589817613043474</v>
      </c>
      <c r="H5" s="32">
        <f t="shared" ref="H5:H15" si="1">+C5-E5</f>
        <v>471.70974500000011</v>
      </c>
      <c r="I5" s="29" t="s">
        <v>0</v>
      </c>
    </row>
    <row r="6" spans="1:9" ht="56.25" customHeight="1">
      <c r="A6" s="37">
        <v>2018011000092</v>
      </c>
      <c r="B6" s="26" t="s">
        <v>7</v>
      </c>
      <c r="C6" s="27">
        <f>2000000000/1000000</f>
        <v>2000</v>
      </c>
      <c r="D6" s="18" t="s">
        <v>8</v>
      </c>
      <c r="E6" s="34">
        <v>1845.5269639999999</v>
      </c>
      <c r="F6" s="34">
        <v>812.95530099999996</v>
      </c>
      <c r="G6" s="35">
        <f t="shared" si="0"/>
        <v>0.92276348199999991</v>
      </c>
      <c r="H6" s="34">
        <f t="shared" si="1"/>
        <v>154.47303600000009</v>
      </c>
      <c r="I6" s="36" t="s">
        <v>0</v>
      </c>
    </row>
    <row r="7" spans="1:9" ht="48.75" customHeight="1">
      <c r="A7" s="40">
        <v>2018011000250</v>
      </c>
      <c r="B7" s="28" t="s">
        <v>10</v>
      </c>
      <c r="C7" s="17">
        <f>2975000000/1000000</f>
        <v>2975</v>
      </c>
      <c r="D7" s="29" t="s">
        <v>11</v>
      </c>
      <c r="E7" s="32">
        <v>2794.6011859999999</v>
      </c>
      <c r="F7" s="32">
        <v>1262.60624921</v>
      </c>
      <c r="G7" s="33">
        <f t="shared" si="0"/>
        <v>0.93936174319327725</v>
      </c>
      <c r="H7" s="32">
        <f t="shared" si="1"/>
        <v>180.39881400000013</v>
      </c>
      <c r="I7" s="29" t="s">
        <v>0</v>
      </c>
    </row>
    <row r="8" spans="1:9" ht="40.5" customHeight="1">
      <c r="A8" s="37">
        <v>2018011000422</v>
      </c>
      <c r="B8" s="26" t="s">
        <v>13</v>
      </c>
      <c r="C8" s="27">
        <f>2600000000/1000000</f>
        <v>2600</v>
      </c>
      <c r="D8" s="30" t="s">
        <v>40</v>
      </c>
      <c r="E8" s="34">
        <v>1145.24303721</v>
      </c>
      <c r="F8" s="34">
        <v>860.20746587999997</v>
      </c>
      <c r="G8" s="35">
        <f t="shared" si="0"/>
        <v>0.4404780912346154</v>
      </c>
      <c r="H8" s="34">
        <f t="shared" si="1"/>
        <v>1454.75696279</v>
      </c>
      <c r="I8" s="36" t="s">
        <v>0</v>
      </c>
    </row>
    <row r="9" spans="1:9" ht="74.25" customHeight="1">
      <c r="A9" s="40">
        <v>2021011000262</v>
      </c>
      <c r="B9" s="28" t="s">
        <v>15</v>
      </c>
      <c r="C9" s="17">
        <f>105434000000/1000000</f>
        <v>105434</v>
      </c>
      <c r="D9" s="29" t="s">
        <v>16</v>
      </c>
      <c r="E9" s="32">
        <v>91689.854265000002</v>
      </c>
      <c r="F9" s="32">
        <v>53460.192548999999</v>
      </c>
      <c r="G9" s="33">
        <f t="shared" si="0"/>
        <v>0.86964218624921752</v>
      </c>
      <c r="H9" s="32">
        <f t="shared" si="1"/>
        <v>13744.145734999998</v>
      </c>
      <c r="I9" s="29" t="s">
        <v>0</v>
      </c>
    </row>
    <row r="10" spans="1:9" ht="78.75" customHeight="1">
      <c r="A10" s="37">
        <v>202300000000019</v>
      </c>
      <c r="B10" s="26" t="s">
        <v>17</v>
      </c>
      <c r="C10" s="27">
        <f>2000000000/1000000</f>
        <v>2000</v>
      </c>
      <c r="D10" s="30" t="s">
        <v>18</v>
      </c>
      <c r="E10" s="34">
        <v>187.2</v>
      </c>
      <c r="F10" s="34">
        <v>59.896666000000003</v>
      </c>
      <c r="G10" s="35">
        <f t="shared" si="0"/>
        <v>9.3599999999999989E-2</v>
      </c>
      <c r="H10" s="34">
        <f t="shared" si="1"/>
        <v>1812.8</v>
      </c>
      <c r="I10" s="36" t="s">
        <v>0</v>
      </c>
    </row>
    <row r="11" spans="1:9" ht="74.25" customHeight="1">
      <c r="A11" s="40">
        <v>202300000000203</v>
      </c>
      <c r="B11" s="28" t="s">
        <v>20</v>
      </c>
      <c r="C11" s="17">
        <f>131662322834/1000000</f>
        <v>131662.32283399999</v>
      </c>
      <c r="D11" s="29" t="s">
        <v>18</v>
      </c>
      <c r="E11" s="32">
        <v>117010.526069</v>
      </c>
      <c r="F11" s="32">
        <v>62986.217234199998</v>
      </c>
      <c r="G11" s="33">
        <f t="shared" si="0"/>
        <v>0.88871685954171575</v>
      </c>
      <c r="H11" s="32">
        <f t="shared" si="1"/>
        <v>14651.796764999992</v>
      </c>
      <c r="I11" s="29" t="s">
        <v>0</v>
      </c>
    </row>
    <row r="12" spans="1:9" ht="81.75" customHeight="1">
      <c r="A12" s="37">
        <v>2021011000263</v>
      </c>
      <c r="B12" s="26" t="s">
        <v>22</v>
      </c>
      <c r="C12" s="27">
        <f>35132164670/1000000</f>
        <v>35132.164669999998</v>
      </c>
      <c r="D12" s="30" t="s">
        <v>16</v>
      </c>
      <c r="E12" s="34">
        <v>33872.025047000003</v>
      </c>
      <c r="F12" s="34">
        <v>16574.884415500001</v>
      </c>
      <c r="G12" s="35">
        <f t="shared" si="0"/>
        <v>0.96413145518254806</v>
      </c>
      <c r="H12" s="34">
        <f t="shared" si="1"/>
        <v>1260.1396229999955</v>
      </c>
      <c r="I12" s="36" t="s">
        <v>0</v>
      </c>
    </row>
    <row r="13" spans="1:9" ht="69.75" customHeight="1">
      <c r="A13" s="40">
        <v>2018011000200</v>
      </c>
      <c r="B13" s="28" t="s">
        <v>24</v>
      </c>
      <c r="C13" s="17">
        <f>7000000000/1000000</f>
        <v>7000</v>
      </c>
      <c r="D13" s="29" t="s">
        <v>25</v>
      </c>
      <c r="E13" s="32">
        <v>2598.0750300999998</v>
      </c>
      <c r="F13" s="32">
        <v>1019.4872785700001</v>
      </c>
      <c r="G13" s="33">
        <f t="shared" si="0"/>
        <v>0.37115357572857138</v>
      </c>
      <c r="H13" s="32">
        <f t="shared" si="1"/>
        <v>4401.9249699000002</v>
      </c>
      <c r="I13" s="29" t="s">
        <v>0</v>
      </c>
    </row>
    <row r="14" spans="1:9">
      <c r="A14" s="37">
        <v>2018011000349</v>
      </c>
      <c r="B14" s="26" t="s">
        <v>27</v>
      </c>
      <c r="C14" s="27">
        <f>9764000000/1000000</f>
        <v>9764</v>
      </c>
      <c r="D14" s="30" t="s">
        <v>25</v>
      </c>
      <c r="E14" s="34">
        <v>8902.0080412999996</v>
      </c>
      <c r="F14" s="34">
        <v>2461.4618859699999</v>
      </c>
      <c r="G14" s="35">
        <f t="shared" si="0"/>
        <v>0.91171733319336334</v>
      </c>
      <c r="H14" s="34">
        <f t="shared" si="1"/>
        <v>861.9919587000004</v>
      </c>
      <c r="I14" s="36" t="s">
        <v>0</v>
      </c>
    </row>
    <row r="15" spans="1:9" ht="60.75" customHeight="1">
      <c r="A15" s="40">
        <v>202300000000037</v>
      </c>
      <c r="B15" s="28" t="s">
        <v>29</v>
      </c>
      <c r="C15" s="17">
        <f>5825000000/1000000</f>
        <v>5825</v>
      </c>
      <c r="D15" s="29" t="s">
        <v>30</v>
      </c>
      <c r="E15" s="32">
        <v>5478.6770341499996</v>
      </c>
      <c r="F15" s="32">
        <v>2374.5895676700002</v>
      </c>
      <c r="G15" s="33">
        <f t="shared" si="0"/>
        <v>0.94054541358798271</v>
      </c>
      <c r="H15" s="32">
        <f t="shared" si="1"/>
        <v>346.3229658500004</v>
      </c>
      <c r="I15" s="29" t="s">
        <v>0</v>
      </c>
    </row>
    <row r="17" spans="5:8">
      <c r="E17" s="38"/>
      <c r="F17" s="38"/>
      <c r="G17" s="38"/>
      <c r="H17" s="38"/>
    </row>
  </sheetData>
  <sheetProtection algorithmName="SHA-512" hashValue="/Z3HjeARGD8rmXHhThQvuNmhcoZzGqeZUqx3owiXyfZeceWHidFE377NEiCmOAY+J2Gp98oWbB+mFIHobosMuQ==" saltValue="mvsuvmUkrD9lKdaW9J2pAQ==" spinCount="100000" sheet="1" objects="1" scenarios="1"/>
  <mergeCells count="1">
    <mergeCell ref="A2:I2"/>
  </mergeCells>
  <pageMargins left="0.7" right="0.7" top="0.75" bottom="0.75" header="0.3" footer="0.3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lace xmlns="f3fd3fb8-5eaa-4af1-b04c-68cbcc097b6b">
      <Url/>
      <Description/>
    </Enlace>
    <lcf76f155ced4ddcb4097134ff3c332f xmlns="f3fd3fb8-5eaa-4af1-b04c-68cbcc097b6b">
      <Terms xmlns="http://schemas.microsoft.com/office/infopath/2007/PartnerControls"/>
    </lcf76f155ced4ddcb4097134ff3c332f>
    <TaxCatchAll xmlns="4c005be5-a76b-498b-b56b-d752a86a9e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20" ma:contentTypeDescription="Crear nuevo documento." ma:contentTypeScope="" ma:versionID="b9008cfef8efa3a8b1397fea1e8f6340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281b85024658a990a45cf21c9c722f4e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Enlace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nlace" ma:index="26" ma:displayName="Enlace" ma:format="Hyperlink" ma:internalName="Enlace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1f5116-5514-4757-b07a-e029ea7542f7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CB6C6C-E718-4B91-838C-8C417B9A21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3CFBB-6A4B-4806-B9F2-C230457FF936}">
  <ds:schemaRefs>
    <ds:schemaRef ds:uri="http://schemas.microsoft.com/office/2006/metadata/properties"/>
    <ds:schemaRef ds:uri="http://schemas.microsoft.com/office/infopath/2007/PartnerControls"/>
    <ds:schemaRef ds:uri="f3fd3fb8-5eaa-4af1-b04c-68cbcc097b6b"/>
    <ds:schemaRef ds:uri="4c005be5-a76b-498b-b56b-d752a86a9e92"/>
  </ds:schemaRefs>
</ds:datastoreItem>
</file>

<file path=customXml/itemProps3.xml><?xml version="1.0" encoding="utf-8"?>
<ds:datastoreItem xmlns:ds="http://schemas.openxmlformats.org/officeDocument/2006/customXml" ds:itemID="{49CF2BE7-E4D6-40B5-A2A3-E7623B065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Deyanid Peña Varela</dc:creator>
  <cp:keywords/>
  <dc:description/>
  <cp:lastModifiedBy>Maria camila Duran ruiz</cp:lastModifiedBy>
  <cp:revision/>
  <dcterms:created xsi:type="dcterms:W3CDTF">2026-04-21T22:14:49Z</dcterms:created>
  <dcterms:modified xsi:type="dcterms:W3CDTF">2026-07-31T20:54:11Z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