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166925"/>
  <mc:AlternateContent xmlns:mc="http://schemas.openxmlformats.org/markup-compatibility/2006">
    <mc:Choice Requires="x15">
      <x15ac:absPath xmlns:x15ac="http://schemas.microsoft.com/office/spreadsheetml/2010/11/ac" url="/Volumes/DARS/PERSONAL/"/>
    </mc:Choice>
  </mc:AlternateContent>
  <xr:revisionPtr revIDLastSave="0" documentId="13_ncr:1_{BBCBF65E-58EA-1248-8566-83262636C426}" xr6:coauthVersionLast="47" xr6:coauthVersionMax="47" xr10:uidLastSave="{00000000-0000-0000-0000-000000000000}"/>
  <bookViews>
    <workbookView xWindow="0" yWindow="500" windowWidth="35180" windowHeight="17660" xr2:uid="{053313C1-2C3B-40CC-A76D-EEF54AEA947E}"/>
  </bookViews>
  <sheets>
    <sheet name="BASE CDR" sheetId="1" r:id="rId1"/>
  </sheets>
  <definedNames>
    <definedName name="_xlnm._FilterDatabase" localSheetId="0" hidden="1">'BASE CDR'!$A$4:$BJ$315</definedName>
    <definedName name="festivos">#REF!</definedName>
    <definedName name="labase">'BASE CDR'!$A$4:$AE$319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C393" i="1" l="1"/>
  <c r="AQ389" i="1"/>
  <c r="AL384" i="1"/>
  <c r="AL383" i="1"/>
  <c r="AL382" i="1"/>
  <c r="AL381" i="1"/>
  <c r="AL380" i="1"/>
  <c r="AL379" i="1"/>
  <c r="AL378" i="1"/>
  <c r="AL377" i="1"/>
  <c r="AL376" i="1"/>
  <c r="AL375" i="1"/>
  <c r="AL374" i="1"/>
  <c r="AL373" i="1"/>
  <c r="AL372" i="1"/>
  <c r="AL371" i="1"/>
  <c r="AL370" i="1"/>
  <c r="AL369" i="1"/>
  <c r="AL368" i="1"/>
  <c r="AL367" i="1"/>
  <c r="AL366" i="1"/>
  <c r="AL365" i="1"/>
  <c r="AL364" i="1"/>
  <c r="AL363" i="1"/>
  <c r="K363" i="1"/>
  <c r="H363" i="1"/>
  <c r="AL362" i="1"/>
  <c r="AL361" i="1"/>
  <c r="AL360" i="1"/>
  <c r="AL359" i="1"/>
  <c r="AL358" i="1"/>
  <c r="AL357" i="1"/>
  <c r="H356" i="1"/>
  <c r="K355" i="1"/>
  <c r="K354" i="1"/>
  <c r="J353" i="1"/>
  <c r="K353" i="1" s="1"/>
  <c r="AL352" i="1"/>
  <c r="K352" i="1"/>
  <c r="AL351" i="1"/>
  <c r="K351" i="1"/>
  <c r="AL350" i="1"/>
  <c r="K350" i="1"/>
  <c r="AL349" i="1"/>
  <c r="J349" i="1"/>
  <c r="K349" i="1" s="1"/>
  <c r="K348" i="1"/>
  <c r="C348" i="1"/>
  <c r="AL347" i="1"/>
  <c r="K347" i="1"/>
  <c r="AL346" i="1"/>
  <c r="AL345" i="1"/>
  <c r="AL344" i="1"/>
  <c r="C343" i="1"/>
  <c r="G342" i="1"/>
  <c r="G341" i="1"/>
  <c r="AL340" i="1"/>
  <c r="AL331" i="1"/>
  <c r="AL330" i="1"/>
  <c r="AL329" i="1"/>
  <c r="AL328" i="1"/>
  <c r="G325" i="1"/>
  <c r="C339" i="1" s="1"/>
  <c r="G324" i="1"/>
  <c r="C338" i="1" s="1"/>
  <c r="AL323" i="1"/>
  <c r="G323" i="1"/>
  <c r="C337" i="1" s="1"/>
  <c r="AL322" i="1"/>
  <c r="AL320" i="1"/>
  <c r="AL319" i="1"/>
  <c r="AL318" i="1"/>
  <c r="F301" i="1"/>
  <c r="AZ298" i="1"/>
  <c r="AY298" i="1"/>
  <c r="AX298" i="1"/>
  <c r="AW298" i="1"/>
  <c r="AZ297" i="1"/>
  <c r="AY297" i="1"/>
  <c r="AX297" i="1"/>
  <c r="AW297" i="1"/>
  <c r="AL284" i="1"/>
  <c r="AX284" i="1" s="1"/>
  <c r="AL283" i="1"/>
  <c r="AX283" i="1" s="1"/>
  <c r="H283" i="1"/>
  <c r="AL282" i="1"/>
  <c r="AZ281" i="1"/>
  <c r="AY281" i="1"/>
  <c r="AX281" i="1"/>
  <c r="AZ280" i="1"/>
  <c r="AY280" i="1"/>
  <c r="AX280" i="1"/>
  <c r="AY279" i="1"/>
  <c r="AZ278" i="1"/>
  <c r="AY278" i="1"/>
  <c r="AX278" i="1"/>
  <c r="AY277" i="1"/>
  <c r="AL277" i="1"/>
  <c r="AZ277" i="1" s="1"/>
  <c r="AL276" i="1"/>
  <c r="H276" i="1"/>
  <c r="AX275" i="1"/>
  <c r="H275" i="1"/>
  <c r="H274" i="1"/>
  <c r="AL273" i="1"/>
  <c r="AX273" i="1" s="1"/>
  <c r="H273" i="1"/>
  <c r="H272" i="1"/>
  <c r="AZ271" i="1"/>
  <c r="AY271" i="1"/>
  <c r="AX271" i="1"/>
  <c r="AW271" i="1"/>
  <c r="H271" i="1"/>
  <c r="H270" i="1"/>
  <c r="AZ269" i="1"/>
  <c r="AY269" i="1"/>
  <c r="H269" i="1"/>
  <c r="AL268" i="1"/>
  <c r="F268" i="1"/>
  <c r="H268" i="1" s="1"/>
  <c r="AY267" i="1"/>
  <c r="AL266" i="1"/>
  <c r="AZ266" i="1" s="1"/>
  <c r="H266" i="1"/>
  <c r="AL265" i="1"/>
  <c r="AX265" i="1" s="1"/>
  <c r="H265" i="1"/>
  <c r="F264" i="1"/>
  <c r="F263" i="1"/>
  <c r="H263" i="1" s="1"/>
  <c r="AZ262" i="1"/>
  <c r="AX262" i="1"/>
  <c r="AY261" i="1"/>
  <c r="AX261" i="1"/>
  <c r="AZ260" i="1"/>
  <c r="AY260" i="1"/>
  <c r="AX260" i="1"/>
  <c r="AT258" i="1"/>
  <c r="AU258" i="1" s="1"/>
  <c r="AS258" i="1"/>
  <c r="AR258" i="1"/>
  <c r="Y258" i="1"/>
  <c r="AL258" i="1" s="1"/>
  <c r="AY258" i="1" s="1"/>
  <c r="AL257" i="1"/>
  <c r="AY257" i="1" s="1"/>
  <c r="AX256" i="1"/>
  <c r="Y256" i="1"/>
  <c r="Y255" i="1"/>
  <c r="AZ254" i="1"/>
  <c r="AY254" i="1"/>
  <c r="AX254" i="1"/>
  <c r="H254" i="1"/>
  <c r="AT253" i="1"/>
  <c r="AU253" i="1" s="1"/>
  <c r="AS253" i="1"/>
  <c r="AR253" i="1"/>
  <c r="AL253" i="1"/>
  <c r="AY253" i="1" s="1"/>
  <c r="Y253" i="1"/>
  <c r="W252" i="1"/>
  <c r="AZ250" i="1"/>
  <c r="AY250" i="1"/>
  <c r="AX250" i="1"/>
  <c r="AW250" i="1"/>
  <c r="H250" i="1"/>
  <c r="AZ249" i="1"/>
  <c r="AX249" i="1"/>
  <c r="H249" i="1"/>
  <c r="AZ246" i="1"/>
  <c r="AY246" i="1"/>
  <c r="AX246" i="1"/>
  <c r="F246" i="1"/>
  <c r="H246" i="1" s="1"/>
  <c r="AZ245" i="1"/>
  <c r="AY245" i="1"/>
  <c r="AX245" i="1"/>
  <c r="AW245" i="1"/>
  <c r="AL245" i="1"/>
  <c r="F245" i="1"/>
  <c r="H245" i="1" s="1"/>
  <c r="F244" i="1"/>
  <c r="H244" i="1" s="1"/>
  <c r="AL243" i="1"/>
  <c r="AX243" i="1" s="1"/>
  <c r="H243" i="1"/>
  <c r="AZ242" i="1"/>
  <c r="AY242" i="1"/>
  <c r="AX242" i="1"/>
  <c r="AW242" i="1"/>
  <c r="AT242" i="1"/>
  <c r="Y242" i="1"/>
  <c r="F242" i="1"/>
  <c r="H242" i="1" s="1"/>
  <c r="AY241" i="1"/>
  <c r="AW241" i="1"/>
  <c r="H241" i="1"/>
  <c r="AW240" i="1"/>
  <c r="Y240" i="1"/>
  <c r="AL240" i="1" s="1"/>
  <c r="AZ240" i="1" s="1"/>
  <c r="F240" i="1"/>
  <c r="H240" i="1" s="1"/>
  <c r="AL239" i="1"/>
  <c r="AX239" i="1" s="1"/>
  <c r="Y239" i="1"/>
  <c r="F239" i="1"/>
  <c r="H239" i="1" s="1"/>
  <c r="Y238" i="1"/>
  <c r="AL238" i="1" s="1"/>
  <c r="H238" i="1"/>
  <c r="AL237" i="1"/>
  <c r="Y237" i="1"/>
  <c r="H237" i="1"/>
  <c r="AY236" i="1"/>
  <c r="AL236" i="1"/>
  <c r="H235" i="1"/>
  <c r="AL234" i="1"/>
  <c r="AX234" i="1" s="1"/>
  <c r="Y234" i="1"/>
  <c r="F234" i="1"/>
  <c r="H234" i="1" s="1"/>
  <c r="AZ233" i="1"/>
  <c r="AX233" i="1"/>
  <c r="H233" i="1"/>
  <c r="AL232" i="1"/>
  <c r="AY232" i="1" s="1"/>
  <c r="Y232" i="1"/>
  <c r="F232" i="1"/>
  <c r="H232" i="1" s="1"/>
  <c r="Y231" i="1"/>
  <c r="AL231" i="1" s="1"/>
  <c r="F231" i="1"/>
  <c r="H231" i="1" s="1"/>
  <c r="AL230" i="1"/>
  <c r="Y230" i="1"/>
  <c r="F230" i="1"/>
  <c r="H230" i="1" s="1"/>
  <c r="Y229" i="1"/>
  <c r="AL229" i="1" s="1"/>
  <c r="AX229" i="1" s="1"/>
  <c r="H229" i="1"/>
  <c r="AX228" i="1"/>
  <c r="Y228" i="1"/>
  <c r="F228" i="1"/>
  <c r="H228" i="1" s="1"/>
  <c r="AZ227" i="1"/>
  <c r="AY227" i="1"/>
  <c r="AX227" i="1"/>
  <c r="F227" i="1"/>
  <c r="H227" i="1" s="1"/>
  <c r="AZ226" i="1"/>
  <c r="AY226" i="1"/>
  <c r="AX226" i="1"/>
  <c r="F226" i="1"/>
  <c r="H226" i="1" s="1"/>
  <c r="AL225" i="1"/>
  <c r="AX225" i="1" s="1"/>
  <c r="F225" i="1"/>
  <c r="H225" i="1" s="1"/>
  <c r="AZ224" i="1"/>
  <c r="AX224" i="1"/>
  <c r="F224" i="1"/>
  <c r="H224" i="1" s="1"/>
  <c r="AL223" i="1"/>
  <c r="AX223" i="1" s="1"/>
  <c r="Y223" i="1"/>
  <c r="F223" i="1"/>
  <c r="H223" i="1" s="1"/>
  <c r="AY222" i="1"/>
  <c r="Y222" i="1"/>
  <c r="F222" i="1"/>
  <c r="H222" i="1" s="1"/>
  <c r="Y221" i="1"/>
  <c r="F221" i="1"/>
  <c r="H221" i="1" s="1"/>
  <c r="AX220" i="1"/>
  <c r="Y220" i="1"/>
  <c r="F220" i="1"/>
  <c r="H220" i="1" s="1"/>
  <c r="F219" i="1"/>
  <c r="H219" i="1" s="1"/>
  <c r="AW218" i="1"/>
  <c r="AL218" i="1"/>
  <c r="Y218" i="1"/>
  <c r="F218" i="1"/>
  <c r="H218" i="1" s="1"/>
  <c r="AZ217" i="1"/>
  <c r="AX217" i="1"/>
  <c r="AW217" i="1"/>
  <c r="F217" i="1"/>
  <c r="H217" i="1" s="1"/>
  <c r="AW216" i="1"/>
  <c r="AL216" i="1"/>
  <c r="AX216" i="1" s="1"/>
  <c r="W216" i="1"/>
  <c r="F216" i="1"/>
  <c r="H216" i="1" s="1"/>
  <c r="AW215" i="1"/>
  <c r="AL215" i="1"/>
  <c r="AY215" i="1" s="1"/>
  <c r="W215" i="1"/>
  <c r="F215" i="1"/>
  <c r="H215" i="1" s="1"/>
  <c r="AW214" i="1"/>
  <c r="AL214" i="1"/>
  <c r="AZ214" i="1" s="1"/>
  <c r="W214" i="1"/>
  <c r="F214" i="1"/>
  <c r="H214" i="1" s="1"/>
  <c r="AW213" i="1"/>
  <c r="AL213" i="1"/>
  <c r="AY213" i="1" s="1"/>
  <c r="W213" i="1"/>
  <c r="F213" i="1"/>
  <c r="H213" i="1" s="1"/>
  <c r="AL212" i="1"/>
  <c r="W212" i="1"/>
  <c r="H212" i="1"/>
  <c r="AW211" i="1"/>
  <c r="AL211" i="1"/>
  <c r="AZ211" i="1" s="1"/>
  <c r="W211" i="1"/>
  <c r="F211" i="1"/>
  <c r="H211" i="1" s="1"/>
  <c r="AL210" i="1"/>
  <c r="AX210" i="1" s="1"/>
  <c r="Y210" i="1"/>
  <c r="H210" i="1"/>
  <c r="F210" i="1"/>
  <c r="AL209" i="1"/>
  <c r="AY209" i="1" s="1"/>
  <c r="Y209" i="1"/>
  <c r="F209" i="1"/>
  <c r="H209" i="1" s="1"/>
  <c r="AW208" i="1"/>
  <c r="AL208" i="1"/>
  <c r="AY208" i="1" s="1"/>
  <c r="W208" i="1"/>
  <c r="F208" i="1"/>
  <c r="H208" i="1" s="1"/>
  <c r="AZ207" i="1"/>
  <c r="AY207" i="1"/>
  <c r="AX207" i="1"/>
  <c r="AW207" i="1"/>
  <c r="W207" i="1"/>
  <c r="F207" i="1"/>
  <c r="H207" i="1" s="1"/>
  <c r="AW206" i="1"/>
  <c r="AL206" i="1"/>
  <c r="AY206" i="1" s="1"/>
  <c r="W206" i="1"/>
  <c r="F206" i="1"/>
  <c r="H206" i="1" s="1"/>
  <c r="AL205" i="1"/>
  <c r="AX205" i="1" s="1"/>
  <c r="Y205" i="1"/>
  <c r="F205" i="1"/>
  <c r="H205" i="1" s="1"/>
  <c r="AW204" i="1"/>
  <c r="AL204" i="1"/>
  <c r="AZ204" i="1" s="1"/>
  <c r="W204" i="1"/>
  <c r="F204" i="1"/>
  <c r="H204" i="1" s="1"/>
  <c r="AW203" i="1"/>
  <c r="AL203" i="1"/>
  <c r="AY203" i="1" s="1"/>
  <c r="W203" i="1"/>
  <c r="F203" i="1"/>
  <c r="H203" i="1" s="1"/>
  <c r="AL202" i="1"/>
  <c r="AX202" i="1" s="1"/>
  <c r="F202" i="1"/>
  <c r="H202" i="1" s="1"/>
  <c r="AL201" i="1"/>
  <c r="Y201" i="1"/>
  <c r="F201" i="1"/>
  <c r="H201" i="1" s="1"/>
  <c r="AL200" i="1"/>
  <c r="AZ200" i="1" s="1"/>
  <c r="Y200" i="1"/>
  <c r="F200" i="1"/>
  <c r="H200" i="1" s="1"/>
  <c r="AX199" i="1"/>
  <c r="F199" i="1"/>
  <c r="H199" i="1" s="1"/>
  <c r="AL198" i="1"/>
  <c r="Y198" i="1"/>
  <c r="F198" i="1"/>
  <c r="V198" i="1" s="1"/>
  <c r="AZ197" i="1"/>
  <c r="AX197" i="1"/>
  <c r="F197" i="1"/>
  <c r="H197" i="1" s="1"/>
  <c r="AL196" i="1"/>
  <c r="AX196" i="1" s="1"/>
  <c r="F196" i="1"/>
  <c r="H196" i="1" s="1"/>
  <c r="AL195" i="1"/>
  <c r="AX195" i="1" s="1"/>
  <c r="F195" i="1"/>
  <c r="H195" i="1" s="1"/>
  <c r="AW194" i="1"/>
  <c r="AT194" i="1"/>
  <c r="AT389" i="1" s="1"/>
  <c r="AS194" i="1"/>
  <c r="AS389" i="1" s="1"/>
  <c r="AR194" i="1"/>
  <c r="AL194" i="1"/>
  <c r="AL392" i="1" s="1"/>
  <c r="AL393" i="1" s="1"/>
  <c r="W194" i="1"/>
  <c r="F194" i="1"/>
  <c r="H194" i="1" s="1"/>
  <c r="AW193" i="1"/>
  <c r="AL193" i="1"/>
  <c r="AX193" i="1" s="1"/>
  <c r="W193" i="1"/>
  <c r="F193" i="1"/>
  <c r="H193" i="1" s="1"/>
  <c r="AZ192" i="1"/>
  <c r="AY192" i="1"/>
  <c r="AX192" i="1"/>
  <c r="H192" i="1"/>
  <c r="AZ191" i="1"/>
  <c r="AY191" i="1"/>
  <c r="AX191" i="1"/>
  <c r="Y191" i="1"/>
  <c r="H191" i="1"/>
  <c r="H190" i="1"/>
  <c r="AZ189" i="1"/>
  <c r="AY189" i="1"/>
  <c r="AX189" i="1"/>
  <c r="Y189" i="1"/>
  <c r="H189" i="1"/>
  <c r="AL188" i="1"/>
  <c r="AX188" i="1" s="1"/>
  <c r="H188" i="1"/>
  <c r="AL187" i="1"/>
  <c r="AZ187" i="1" s="1"/>
  <c r="Y187" i="1"/>
  <c r="H187" i="1"/>
  <c r="AW186" i="1"/>
  <c r="AL186" i="1"/>
  <c r="AZ186" i="1" s="1"/>
  <c r="W186" i="1"/>
  <c r="F186" i="1"/>
  <c r="H186" i="1" s="1"/>
  <c r="AW185" i="1"/>
  <c r="AL185" i="1"/>
  <c r="AX185" i="1" s="1"/>
  <c r="W185" i="1"/>
  <c r="F185" i="1"/>
  <c r="H185" i="1" s="1"/>
  <c r="AZ184" i="1"/>
  <c r="AX184" i="1"/>
  <c r="AW184" i="1"/>
  <c r="Y184" i="1"/>
  <c r="F184" i="1"/>
  <c r="H184" i="1" s="1"/>
  <c r="AY183" i="1"/>
  <c r="AL183" i="1"/>
  <c r="AZ183" i="1" s="1"/>
  <c r="F183" i="1"/>
  <c r="H183" i="1" s="1"/>
  <c r="AY182" i="1"/>
  <c r="AW182" i="1"/>
  <c r="AL182" i="1"/>
  <c r="AZ182" i="1" s="1"/>
  <c r="W182" i="1"/>
  <c r="F182" i="1"/>
  <c r="H182" i="1" s="1"/>
  <c r="AW181" i="1"/>
  <c r="AL181" i="1"/>
  <c r="AY181" i="1" s="1"/>
  <c r="W181" i="1"/>
  <c r="F181" i="1"/>
  <c r="H181" i="1" s="1"/>
  <c r="AW180" i="1"/>
  <c r="AL180" i="1"/>
  <c r="AY180" i="1" s="1"/>
  <c r="W180" i="1"/>
  <c r="F180" i="1"/>
  <c r="H180" i="1" s="1"/>
  <c r="AW179" i="1"/>
  <c r="AL179" i="1"/>
  <c r="AZ179" i="1" s="1"/>
  <c r="W179" i="1"/>
  <c r="F179" i="1"/>
  <c r="H179" i="1" s="1"/>
  <c r="AL178" i="1"/>
  <c r="F178" i="1"/>
  <c r="H178" i="1" s="1"/>
  <c r="AZ177" i="1"/>
  <c r="AY177" i="1"/>
  <c r="AX177" i="1"/>
  <c r="Y177" i="1"/>
  <c r="F177" i="1"/>
  <c r="H177" i="1" s="1"/>
  <c r="AL176" i="1"/>
  <c r="AZ176" i="1" s="1"/>
  <c r="Y176" i="1"/>
  <c r="F176" i="1"/>
  <c r="H176" i="1" s="1"/>
  <c r="AZ175" i="1"/>
  <c r="AX175" i="1"/>
  <c r="F175" i="1"/>
  <c r="H175" i="1" s="1"/>
  <c r="AZ174" i="1"/>
  <c r="AY174" i="1"/>
  <c r="AX174" i="1"/>
  <c r="Y174" i="1"/>
  <c r="F174" i="1"/>
  <c r="H174" i="1" s="1"/>
  <c r="AZ173" i="1"/>
  <c r="AY173" i="1"/>
  <c r="AX173" i="1"/>
  <c r="Y173" i="1"/>
  <c r="F173" i="1"/>
  <c r="H173" i="1" s="1"/>
  <c r="AZ172" i="1"/>
  <c r="AY172" i="1"/>
  <c r="AX172" i="1"/>
  <c r="F172" i="1"/>
  <c r="V172" i="1" s="1"/>
  <c r="AZ171" i="1"/>
  <c r="AY171" i="1"/>
  <c r="AX171" i="1"/>
  <c r="F171" i="1"/>
  <c r="H171" i="1" s="1"/>
  <c r="AZ170" i="1"/>
  <c r="AX170" i="1"/>
  <c r="Y170" i="1"/>
  <c r="F170" i="1"/>
  <c r="H170" i="1" s="1"/>
  <c r="AW169" i="1"/>
  <c r="AL169" i="1"/>
  <c r="AZ169" i="1" s="1"/>
  <c r="W169" i="1"/>
  <c r="F169" i="1"/>
  <c r="H169" i="1" s="1"/>
  <c r="AW168" i="1"/>
  <c r="AL168" i="1"/>
  <c r="AY168" i="1" s="1"/>
  <c r="W168" i="1"/>
  <c r="F168" i="1"/>
  <c r="H168" i="1" s="1"/>
  <c r="AZ167" i="1"/>
  <c r="AY167" i="1"/>
  <c r="AX167" i="1"/>
  <c r="AW167" i="1"/>
  <c r="W167" i="1"/>
  <c r="F167" i="1"/>
  <c r="H167" i="1" s="1"/>
  <c r="AL166" i="1"/>
  <c r="AX166" i="1" s="1"/>
  <c r="Y166" i="1"/>
  <c r="F166" i="1"/>
  <c r="H166" i="1" s="1"/>
  <c r="AL165" i="1"/>
  <c r="AZ165" i="1" s="1"/>
  <c r="Y165" i="1"/>
  <c r="F165" i="1"/>
  <c r="H165" i="1" s="1"/>
  <c r="AL164" i="1"/>
  <c r="Y164" i="1"/>
  <c r="F164" i="1"/>
  <c r="H164" i="1" s="1"/>
  <c r="AZ163" i="1"/>
  <c r="AY163" i="1"/>
  <c r="AX163" i="1"/>
  <c r="Y163" i="1"/>
  <c r="F163" i="1"/>
  <c r="H163" i="1" s="1"/>
  <c r="AY162" i="1"/>
  <c r="Y162" i="1"/>
  <c r="F162" i="1"/>
  <c r="H162" i="1" s="1"/>
  <c r="AY161" i="1"/>
  <c r="W161" i="1"/>
  <c r="F161" i="1"/>
  <c r="H161" i="1" s="1"/>
  <c r="AZ160" i="1"/>
  <c r="AX160" i="1"/>
  <c r="F160" i="1"/>
  <c r="H160" i="1" s="1"/>
  <c r="AZ159" i="1"/>
  <c r="AY159" i="1"/>
  <c r="AX159" i="1"/>
  <c r="Y159" i="1"/>
  <c r="F159" i="1"/>
  <c r="H159" i="1" s="1"/>
  <c r="AL158" i="1"/>
  <c r="AZ158" i="1" s="1"/>
  <c r="W158" i="1"/>
  <c r="F158" i="1"/>
  <c r="AL157" i="1"/>
  <c r="AX157" i="1" s="1"/>
  <c r="W157" i="1"/>
  <c r="F157" i="1"/>
  <c r="AL156" i="1"/>
  <c r="AZ156" i="1" s="1"/>
  <c r="Y156" i="1"/>
  <c r="F156" i="1"/>
  <c r="Y155" i="1"/>
  <c r="F155" i="1"/>
  <c r="H155" i="1" s="1"/>
  <c r="AZ154" i="1"/>
  <c r="AX154" i="1"/>
  <c r="Y154" i="1"/>
  <c r="F154" i="1"/>
  <c r="H154" i="1" s="1"/>
  <c r="F153" i="1"/>
  <c r="H153" i="1" s="1"/>
  <c r="AZ152" i="1"/>
  <c r="AY152" i="1"/>
  <c r="AX152" i="1"/>
  <c r="Y152" i="1"/>
  <c r="F152" i="1"/>
  <c r="H152" i="1" s="1"/>
  <c r="AZ151" i="1"/>
  <c r="AX151" i="1"/>
  <c r="Y151" i="1"/>
  <c r="F151" i="1"/>
  <c r="H151" i="1" s="1"/>
  <c r="BC150" i="1"/>
  <c r="AZ150" i="1"/>
  <c r="AX150" i="1"/>
  <c r="Y150" i="1"/>
  <c r="F150" i="1"/>
  <c r="H150" i="1" s="1"/>
  <c r="AZ149" i="1"/>
  <c r="AL149" i="1"/>
  <c r="AX149" i="1" s="1"/>
  <c r="Y149" i="1"/>
  <c r="F149" i="1"/>
  <c r="H149" i="1" s="1"/>
  <c r="AZ148" i="1"/>
  <c r="AX148" i="1"/>
  <c r="Y148" i="1"/>
  <c r="F148" i="1"/>
  <c r="H148" i="1" s="1"/>
  <c r="AL147" i="1"/>
  <c r="AX147" i="1" s="1"/>
  <c r="W147" i="1"/>
  <c r="F147" i="1"/>
  <c r="H147" i="1" s="1"/>
  <c r="AL146" i="1"/>
  <c r="AZ146" i="1" s="1"/>
  <c r="W146" i="1"/>
  <c r="F146" i="1"/>
  <c r="H146" i="1" s="1"/>
  <c r="AZ145" i="1"/>
  <c r="AX145" i="1"/>
  <c r="Y145" i="1"/>
  <c r="F145" i="1"/>
  <c r="H145" i="1" s="1"/>
  <c r="Y144" i="1"/>
  <c r="F144" i="1"/>
  <c r="AL144" i="1" s="1"/>
  <c r="AZ144" i="1" s="1"/>
  <c r="AZ143" i="1"/>
  <c r="AY143" i="1"/>
  <c r="AX143" i="1"/>
  <c r="F143" i="1"/>
  <c r="H143" i="1" s="1"/>
  <c r="AW142" i="1"/>
  <c r="AL142" i="1"/>
  <c r="AX142" i="1" s="1"/>
  <c r="W142" i="1"/>
  <c r="F142" i="1"/>
  <c r="H142" i="1" s="1"/>
  <c r="AW141" i="1"/>
  <c r="AL141" i="1"/>
  <c r="W141" i="1"/>
  <c r="F141" i="1"/>
  <c r="H141" i="1" s="1"/>
  <c r="AK140" i="1"/>
  <c r="W140" i="1"/>
  <c r="F140" i="1"/>
  <c r="H140" i="1" s="1"/>
  <c r="AW139" i="1"/>
  <c r="AL139" i="1"/>
  <c r="AX139" i="1" s="1"/>
  <c r="W139" i="1"/>
  <c r="F139" i="1"/>
  <c r="H139" i="1" s="1"/>
  <c r="AW138" i="1"/>
  <c r="AL138" i="1"/>
  <c r="AY138" i="1" s="1"/>
  <c r="W138" i="1"/>
  <c r="F138" i="1"/>
  <c r="H138" i="1" s="1"/>
  <c r="AY137" i="1"/>
  <c r="AX137" i="1"/>
  <c r="AW137" i="1"/>
  <c r="AL137" i="1"/>
  <c r="AZ137" i="1" s="1"/>
  <c r="W137" i="1"/>
  <c r="F137" i="1"/>
  <c r="H137" i="1" s="1"/>
  <c r="AZ136" i="1"/>
  <c r="AY136" i="1"/>
  <c r="AX136" i="1"/>
  <c r="Y136" i="1"/>
  <c r="F136" i="1"/>
  <c r="H136" i="1" s="1"/>
  <c r="AZ135" i="1"/>
  <c r="AY135" i="1"/>
  <c r="AX135" i="1"/>
  <c r="Y135" i="1"/>
  <c r="F135" i="1"/>
  <c r="H135" i="1" s="1"/>
  <c r="AZ134" i="1"/>
  <c r="AX134" i="1"/>
  <c r="Y134" i="1"/>
  <c r="F134" i="1"/>
  <c r="H134" i="1" s="1"/>
  <c r="AZ133" i="1"/>
  <c r="AX133" i="1"/>
  <c r="Y133" i="1"/>
  <c r="F133" i="1"/>
  <c r="H133" i="1" s="1"/>
  <c r="AZ132" i="1"/>
  <c r="AY132" i="1"/>
  <c r="AX132" i="1"/>
  <c r="Y132" i="1"/>
  <c r="F132" i="1"/>
  <c r="H132" i="1" s="1"/>
  <c r="F131" i="1"/>
  <c r="AW130" i="1"/>
  <c r="AL130" i="1"/>
  <c r="AZ130" i="1" s="1"/>
  <c r="Y130" i="1"/>
  <c r="F130" i="1"/>
  <c r="H130" i="1" s="1"/>
  <c r="AZ129" i="1"/>
  <c r="AY129" i="1"/>
  <c r="AX129" i="1"/>
  <c r="Y129" i="1"/>
  <c r="F129" i="1"/>
  <c r="H129" i="1" s="1"/>
  <c r="AZ128" i="1"/>
  <c r="AY128" i="1"/>
  <c r="AX128" i="1"/>
  <c r="Y128" i="1"/>
  <c r="F128" i="1"/>
  <c r="H128" i="1" s="1"/>
  <c r="AW127" i="1"/>
  <c r="AL127" i="1"/>
  <c r="AX127" i="1" s="1"/>
  <c r="W127" i="1"/>
  <c r="F127" i="1"/>
  <c r="H127" i="1" s="1"/>
  <c r="AW126" i="1"/>
  <c r="AL126" i="1"/>
  <c r="AZ126" i="1" s="1"/>
  <c r="W126" i="1"/>
  <c r="F126" i="1"/>
  <c r="H126" i="1" s="1"/>
  <c r="AZ125" i="1"/>
  <c r="AY125" i="1"/>
  <c r="AX125" i="1"/>
  <c r="AW125" i="1"/>
  <c r="W125" i="1"/>
  <c r="F125" i="1"/>
  <c r="H125" i="1" s="1"/>
  <c r="AZ124" i="1"/>
  <c r="AY124" i="1"/>
  <c r="AW124" i="1"/>
  <c r="Y124" i="1"/>
  <c r="F124" i="1"/>
  <c r="H124" i="1" s="1"/>
  <c r="AZ123" i="1"/>
  <c r="AY123" i="1"/>
  <c r="AX123" i="1"/>
  <c r="AW123" i="1"/>
  <c r="Y123" i="1"/>
  <c r="F123" i="1"/>
  <c r="AZ122" i="1"/>
  <c r="AY122" i="1"/>
  <c r="AX122" i="1"/>
  <c r="AW122" i="1"/>
  <c r="Y122" i="1"/>
  <c r="F122" i="1"/>
  <c r="AW121" i="1"/>
  <c r="AL121" i="1"/>
  <c r="W121" i="1"/>
  <c r="F121" i="1"/>
  <c r="AW120" i="1"/>
  <c r="AL120" i="1"/>
  <c r="W120" i="1"/>
  <c r="F120" i="1"/>
  <c r="AW119" i="1"/>
  <c r="AL119" i="1"/>
  <c r="AX119" i="1" s="1"/>
  <c r="W119" i="1"/>
  <c r="F119" i="1"/>
  <c r="AW118" i="1"/>
  <c r="AL118" i="1"/>
  <c r="AX118" i="1" s="1"/>
  <c r="W118" i="1"/>
  <c r="F118" i="1"/>
  <c r="AW117" i="1"/>
  <c r="AL117" i="1"/>
  <c r="AY117" i="1" s="1"/>
  <c r="W117" i="1"/>
  <c r="F117" i="1"/>
  <c r="AW116" i="1"/>
  <c r="AL116" i="1"/>
  <c r="W116" i="1"/>
  <c r="F116" i="1"/>
  <c r="AZ115" i="1"/>
  <c r="AY115" i="1"/>
  <c r="AX115" i="1"/>
  <c r="AW115" i="1"/>
  <c r="AL115" i="1"/>
  <c r="W115" i="1"/>
  <c r="F115" i="1"/>
  <c r="AW114" i="1"/>
  <c r="AL114" i="1"/>
  <c r="AX114" i="1" s="1"/>
  <c r="W114" i="1"/>
  <c r="F114" i="1"/>
  <c r="AW113" i="1"/>
  <c r="AL113" i="1"/>
  <c r="AZ113" i="1" s="1"/>
  <c r="W113" i="1"/>
  <c r="F113" i="1"/>
  <c r="AW112" i="1"/>
  <c r="AL112" i="1"/>
  <c r="W112" i="1"/>
  <c r="F112" i="1"/>
  <c r="AX111" i="1"/>
  <c r="Y111" i="1"/>
  <c r="F111" i="1"/>
  <c r="AW110" i="1"/>
  <c r="AL110" i="1"/>
  <c r="AY110" i="1" s="1"/>
  <c r="W110" i="1"/>
  <c r="F110" i="1"/>
  <c r="AW109" i="1"/>
  <c r="AL109" i="1"/>
  <c r="W109" i="1"/>
  <c r="F109" i="1"/>
  <c r="AW108" i="1"/>
  <c r="AL108" i="1"/>
  <c r="W108" i="1"/>
  <c r="F108" i="1"/>
  <c r="AW107" i="1"/>
  <c r="AL107" i="1"/>
  <c r="AY107" i="1" s="1"/>
  <c r="W107" i="1"/>
  <c r="F107" i="1"/>
  <c r="AZ106" i="1"/>
  <c r="AY106" i="1"/>
  <c r="AX106" i="1"/>
  <c r="AW106" i="1"/>
  <c r="W106" i="1"/>
  <c r="F106" i="1"/>
  <c r="AZ105" i="1"/>
  <c r="AY105" i="1"/>
  <c r="AX105" i="1"/>
  <c r="AW105" i="1"/>
  <c r="W105" i="1"/>
  <c r="F105" i="1"/>
  <c r="AW104" i="1"/>
  <c r="AL104" i="1"/>
  <c r="AZ104" i="1" s="1"/>
  <c r="Y104" i="1"/>
  <c r="F104" i="1"/>
  <c r="AZ103" i="1"/>
  <c r="AY103" i="1"/>
  <c r="AX103" i="1"/>
  <c r="W103" i="1"/>
  <c r="F103" i="1"/>
  <c r="AZ102" i="1"/>
  <c r="AX102" i="1"/>
  <c r="W102" i="1"/>
  <c r="F102" i="1"/>
  <c r="AZ101" i="1"/>
  <c r="AY101" i="1"/>
  <c r="AX101" i="1"/>
  <c r="W101" i="1"/>
  <c r="F101" i="1"/>
  <c r="AZ100" i="1"/>
  <c r="AX100" i="1"/>
  <c r="Y100" i="1"/>
  <c r="F100" i="1"/>
  <c r="AW99" i="1"/>
  <c r="AL99" i="1"/>
  <c r="Y99" i="1"/>
  <c r="F99" i="1"/>
  <c r="AZ98" i="1"/>
  <c r="AX98" i="1"/>
  <c r="Y98" i="1"/>
  <c r="AW97" i="1"/>
  <c r="F97" i="1"/>
  <c r="V97" i="1" s="1"/>
  <c r="Y97" i="1" s="1"/>
  <c r="AW96" i="1"/>
  <c r="F96" i="1"/>
  <c r="H96" i="1" s="1"/>
  <c r="AW95" i="1"/>
  <c r="F95" i="1"/>
  <c r="V95" i="1" s="1"/>
  <c r="AL95" i="1" s="1"/>
  <c r="AX95" i="1" s="1"/>
  <c r="AW94" i="1"/>
  <c r="AL94" i="1"/>
  <c r="AZ94" i="1" s="1"/>
  <c r="W94" i="1"/>
  <c r="F94" i="1"/>
  <c r="H94" i="1" s="1"/>
  <c r="AW93" i="1"/>
  <c r="AL93" i="1"/>
  <c r="AY93" i="1" s="1"/>
  <c r="W93" i="1"/>
  <c r="F93" i="1"/>
  <c r="H93" i="1" s="1"/>
  <c r="AW92" i="1"/>
  <c r="AL92" i="1"/>
  <c r="AZ92" i="1" s="1"/>
  <c r="W92" i="1"/>
  <c r="F92" i="1"/>
  <c r="H92" i="1" s="1"/>
  <c r="AW91" i="1"/>
  <c r="AL91" i="1"/>
  <c r="AY91" i="1" s="1"/>
  <c r="W91" i="1"/>
  <c r="F91" i="1"/>
  <c r="H91" i="1" s="1"/>
  <c r="AZ90" i="1"/>
  <c r="AY90" i="1"/>
  <c r="AX90" i="1"/>
  <c r="AW90" i="1"/>
  <c r="AL90" i="1"/>
  <c r="W90" i="1"/>
  <c r="F90" i="1"/>
  <c r="H90" i="1" s="1"/>
  <c r="AZ89" i="1"/>
  <c r="AY89" i="1"/>
  <c r="AX89" i="1"/>
  <c r="AW89" i="1"/>
  <c r="AL89" i="1"/>
  <c r="W89" i="1"/>
  <c r="F89" i="1"/>
  <c r="H89" i="1" s="1"/>
  <c r="AW88" i="1"/>
  <c r="AL88" i="1"/>
  <c r="AZ88" i="1" s="1"/>
  <c r="W88" i="1"/>
  <c r="H88" i="1"/>
  <c r="F88" i="1"/>
  <c r="AZ87" i="1"/>
  <c r="AY87" i="1"/>
  <c r="AX87" i="1"/>
  <c r="AW87" i="1"/>
  <c r="AL87" i="1"/>
  <c r="W87" i="1"/>
  <c r="F87" i="1"/>
  <c r="H87" i="1" s="1"/>
  <c r="AZ86" i="1"/>
  <c r="AY86" i="1"/>
  <c r="AX86" i="1"/>
  <c r="AW86" i="1"/>
  <c r="AL86" i="1"/>
  <c r="W86" i="1"/>
  <c r="F86" i="1"/>
  <c r="H86" i="1" s="1"/>
  <c r="AZ85" i="1"/>
  <c r="AW85" i="1"/>
  <c r="AL85" i="1"/>
  <c r="AX85" i="1" s="1"/>
  <c r="W85" i="1"/>
  <c r="F85" i="1"/>
  <c r="H85" i="1" s="1"/>
  <c r="AW84" i="1"/>
  <c r="AL84" i="1"/>
  <c r="AZ84" i="1" s="1"/>
  <c r="W84" i="1"/>
  <c r="F84" i="1"/>
  <c r="H84" i="1" s="1"/>
  <c r="BF83" i="1"/>
  <c r="BD83" i="1"/>
  <c r="BC83" i="1"/>
  <c r="AW83" i="1"/>
  <c r="BE83" i="1" s="1"/>
  <c r="AL83" i="1"/>
  <c r="AX83" i="1" s="1"/>
  <c r="W83" i="1"/>
  <c r="F83" i="1"/>
  <c r="H83" i="1" s="1"/>
  <c r="AZ82" i="1"/>
  <c r="AY82" i="1"/>
  <c r="AX82" i="1"/>
  <c r="AW82" i="1"/>
  <c r="AL82" i="1"/>
  <c r="F82" i="1"/>
  <c r="H82" i="1" s="1"/>
  <c r="AW81" i="1"/>
  <c r="AL81" i="1"/>
  <c r="AX81" i="1" s="1"/>
  <c r="W81" i="1"/>
  <c r="F81" i="1"/>
  <c r="H81" i="1" s="1"/>
  <c r="AZ80" i="1"/>
  <c r="AY80" i="1"/>
  <c r="AX80" i="1"/>
  <c r="AW80" i="1"/>
  <c r="AL80" i="1"/>
  <c r="W80" i="1"/>
  <c r="F80" i="1"/>
  <c r="H80" i="1" s="1"/>
  <c r="AZ79" i="1"/>
  <c r="AY79" i="1"/>
  <c r="AX79" i="1"/>
  <c r="AW79" i="1"/>
  <c r="AL79" i="1"/>
  <c r="W79" i="1"/>
  <c r="F79" i="1"/>
  <c r="H79" i="1" s="1"/>
  <c r="AZ78" i="1"/>
  <c r="AY78" i="1"/>
  <c r="AW78" i="1"/>
  <c r="AL78" i="1"/>
  <c r="AX78" i="1" s="1"/>
  <c r="W78" i="1"/>
  <c r="F78" i="1"/>
  <c r="H78" i="1" s="1"/>
  <c r="AW77" i="1"/>
  <c r="AL77" i="1"/>
  <c r="AY77" i="1" s="1"/>
  <c r="W77" i="1"/>
  <c r="F77" i="1"/>
  <c r="H77" i="1" s="1"/>
  <c r="AW76" i="1"/>
  <c r="AL76" i="1"/>
  <c r="AY76" i="1" s="1"/>
  <c r="W76" i="1"/>
  <c r="H76" i="1"/>
  <c r="F76" i="1"/>
  <c r="AZ75" i="1"/>
  <c r="AY75" i="1"/>
  <c r="AX75" i="1"/>
  <c r="AW75" i="1"/>
  <c r="AL75" i="1"/>
  <c r="F75" i="1"/>
  <c r="H75" i="1" s="1"/>
  <c r="AW74" i="1"/>
  <c r="AL74" i="1"/>
  <c r="AZ74" i="1" s="1"/>
  <c r="W74" i="1"/>
  <c r="F74" i="1"/>
  <c r="H74" i="1" s="1"/>
  <c r="AZ73" i="1"/>
  <c r="AY73" i="1"/>
  <c r="AX73" i="1"/>
  <c r="AW73" i="1"/>
  <c r="AL73" i="1"/>
  <c r="W73" i="1"/>
  <c r="F73" i="1"/>
  <c r="H73" i="1" s="1"/>
  <c r="AZ72" i="1"/>
  <c r="AY72" i="1"/>
  <c r="AX72" i="1"/>
  <c r="AW72" i="1"/>
  <c r="AL72" i="1"/>
  <c r="W72" i="1"/>
  <c r="F72" i="1"/>
  <c r="H72" i="1" s="1"/>
  <c r="AY71" i="1"/>
  <c r="AW71" i="1"/>
  <c r="AL71" i="1"/>
  <c r="AZ71" i="1" s="1"/>
  <c r="W71" i="1"/>
  <c r="F71" i="1"/>
  <c r="H71" i="1" s="1"/>
  <c r="AW70" i="1"/>
  <c r="AL70" i="1"/>
  <c r="AY70" i="1" s="1"/>
  <c r="W70" i="1"/>
  <c r="F70" i="1"/>
  <c r="H70" i="1" s="1"/>
  <c r="AZ69" i="1"/>
  <c r="AY69" i="1"/>
  <c r="AX69" i="1"/>
  <c r="AW69" i="1"/>
  <c r="AL69" i="1"/>
  <c r="W69" i="1"/>
  <c r="F69" i="1"/>
  <c r="H69" i="1" s="1"/>
  <c r="AW68" i="1"/>
  <c r="AL68" i="1"/>
  <c r="AZ68" i="1" s="1"/>
  <c r="W68" i="1"/>
  <c r="F68" i="1"/>
  <c r="H68" i="1" s="1"/>
  <c r="AW67" i="1"/>
  <c r="AL67" i="1"/>
  <c r="AZ67" i="1" s="1"/>
  <c r="W67" i="1"/>
  <c r="F67" i="1"/>
  <c r="H67" i="1" s="1"/>
  <c r="AZ66" i="1"/>
  <c r="AY66" i="1"/>
  <c r="AX66" i="1"/>
  <c r="AW66" i="1"/>
  <c r="AL66" i="1"/>
  <c r="F66" i="1"/>
  <c r="H66" i="1" s="1"/>
  <c r="AW65" i="1"/>
  <c r="AL65" i="1"/>
  <c r="AY65" i="1" s="1"/>
  <c r="W65" i="1"/>
  <c r="F65" i="1"/>
  <c r="H65" i="1" s="1"/>
  <c r="AW64" i="1"/>
  <c r="AL64" i="1"/>
  <c r="W64" i="1"/>
  <c r="F64" i="1"/>
  <c r="H64" i="1" s="1"/>
  <c r="AZ63" i="1"/>
  <c r="AY63" i="1"/>
  <c r="AX63" i="1"/>
  <c r="AW63" i="1"/>
  <c r="AL63" i="1"/>
  <c r="H63" i="1"/>
  <c r="F63" i="1"/>
  <c r="AW62" i="1"/>
  <c r="AL62" i="1"/>
  <c r="AZ62" i="1" s="1"/>
  <c r="F62" i="1"/>
  <c r="H62" i="1" s="1"/>
  <c r="AW61" i="1"/>
  <c r="AL61" i="1"/>
  <c r="AY61" i="1" s="1"/>
  <c r="W61" i="1"/>
  <c r="F61" i="1"/>
  <c r="H61" i="1" s="1"/>
  <c r="AW60" i="1"/>
  <c r="AL60" i="1"/>
  <c r="AY60" i="1" s="1"/>
  <c r="F60" i="1"/>
  <c r="H60" i="1" s="1"/>
  <c r="AW59" i="1"/>
  <c r="AL59" i="1"/>
  <c r="AY59" i="1" s="1"/>
  <c r="F59" i="1"/>
  <c r="H59" i="1" s="1"/>
  <c r="AW58" i="1"/>
  <c r="AL58" i="1"/>
  <c r="AY58" i="1" s="1"/>
  <c r="W58" i="1"/>
  <c r="F58" i="1"/>
  <c r="H58" i="1" s="1"/>
  <c r="AW57" i="1"/>
  <c r="AL57" i="1"/>
  <c r="AZ57" i="1" s="1"/>
  <c r="W57" i="1"/>
  <c r="F57" i="1"/>
  <c r="H57" i="1" s="1"/>
  <c r="AW56" i="1"/>
  <c r="AL56" i="1"/>
  <c r="AZ56" i="1" s="1"/>
  <c r="W56" i="1"/>
  <c r="F56" i="1"/>
  <c r="H56" i="1" s="1"/>
  <c r="AW55" i="1"/>
  <c r="AL55" i="1"/>
  <c r="W55" i="1"/>
  <c r="F55" i="1"/>
  <c r="H55" i="1" s="1"/>
  <c r="AW54" i="1"/>
  <c r="AL54" i="1"/>
  <c r="AZ54" i="1" s="1"/>
  <c r="W54" i="1"/>
  <c r="F54" i="1"/>
  <c r="H54" i="1" s="1"/>
  <c r="AW53" i="1"/>
  <c r="AL53" i="1"/>
  <c r="AY53" i="1" s="1"/>
  <c r="F53" i="1"/>
  <c r="H53" i="1" s="1"/>
  <c r="AW52" i="1"/>
  <c r="AL52" i="1"/>
  <c r="AY52" i="1" s="1"/>
  <c r="F52" i="1"/>
  <c r="H52" i="1" s="1"/>
  <c r="AW51" i="1"/>
  <c r="AL51" i="1"/>
  <c r="AZ51" i="1" s="1"/>
  <c r="H51" i="1"/>
  <c r="F51" i="1"/>
  <c r="AW50" i="1"/>
  <c r="AL50" i="1"/>
  <c r="AZ50" i="1" s="1"/>
  <c r="W50" i="1"/>
  <c r="H50" i="1"/>
  <c r="F50" i="1"/>
  <c r="AW49" i="1"/>
  <c r="AL49" i="1"/>
  <c r="AY49" i="1" s="1"/>
  <c r="W49" i="1"/>
  <c r="F49" i="1"/>
  <c r="H49" i="1" s="1"/>
  <c r="AW48" i="1"/>
  <c r="AL48" i="1"/>
  <c r="AZ48" i="1" s="1"/>
  <c r="W48" i="1"/>
  <c r="F48" i="1"/>
  <c r="H48" i="1" s="1"/>
  <c r="AW47" i="1"/>
  <c r="AL47" i="1"/>
  <c r="AY47" i="1" s="1"/>
  <c r="W47" i="1"/>
  <c r="F47" i="1"/>
  <c r="H47" i="1" s="1"/>
  <c r="AY46" i="1"/>
  <c r="AX46" i="1"/>
  <c r="AW46" i="1"/>
  <c r="AL46" i="1"/>
  <c r="AZ46" i="1" s="1"/>
  <c r="W46" i="1"/>
  <c r="F46" i="1"/>
  <c r="H46" i="1" s="1"/>
  <c r="AZ45" i="1"/>
  <c r="AY45" i="1"/>
  <c r="AX45" i="1"/>
  <c r="AW45" i="1"/>
  <c r="AL45" i="1"/>
  <c r="F45" i="1"/>
  <c r="H45" i="1" s="1"/>
  <c r="AW44" i="1"/>
  <c r="AL44" i="1"/>
  <c r="AZ44" i="1" s="1"/>
  <c r="W44" i="1"/>
  <c r="F44" i="1"/>
  <c r="H44" i="1" s="1"/>
  <c r="AW43" i="1"/>
  <c r="AL43" i="1"/>
  <c r="AY43" i="1" s="1"/>
  <c r="W43" i="1"/>
  <c r="F43" i="1"/>
  <c r="H43" i="1" s="1"/>
  <c r="AW42" i="1"/>
  <c r="AL42" i="1"/>
  <c r="AZ42" i="1" s="1"/>
  <c r="W42" i="1"/>
  <c r="F42" i="1"/>
  <c r="H42" i="1" s="1"/>
  <c r="AW41" i="1"/>
  <c r="AL41" i="1"/>
  <c r="AY41" i="1" s="1"/>
  <c r="W41" i="1"/>
  <c r="F41" i="1"/>
  <c r="H41" i="1" s="1"/>
  <c r="AW40" i="1"/>
  <c r="AL40" i="1"/>
  <c r="AZ40" i="1" s="1"/>
  <c r="W40" i="1"/>
  <c r="F40" i="1"/>
  <c r="H40" i="1" s="1"/>
  <c r="AW39" i="1"/>
  <c r="AL39" i="1"/>
  <c r="AZ39" i="1" s="1"/>
  <c r="W39" i="1"/>
  <c r="F39" i="1"/>
  <c r="H39" i="1" s="1"/>
  <c r="AW38" i="1"/>
  <c r="AL38" i="1"/>
  <c r="W38" i="1"/>
  <c r="H38" i="1"/>
  <c r="F38" i="1"/>
  <c r="AW37" i="1"/>
  <c r="AL37" i="1"/>
  <c r="AZ37" i="1" s="1"/>
  <c r="F37" i="1"/>
  <c r="H37" i="1" s="1"/>
  <c r="AW36" i="1"/>
  <c r="AL36" i="1"/>
  <c r="AZ36" i="1" s="1"/>
  <c r="W36" i="1"/>
  <c r="F36" i="1"/>
  <c r="H36" i="1" s="1"/>
  <c r="AW35" i="1"/>
  <c r="AL35" i="1"/>
  <c r="AY35" i="1" s="1"/>
  <c r="W35" i="1"/>
  <c r="F35" i="1"/>
  <c r="H35" i="1" s="1"/>
  <c r="AW34" i="1"/>
  <c r="AL34" i="1"/>
  <c r="AZ34" i="1" s="1"/>
  <c r="W34" i="1"/>
  <c r="F34" i="1"/>
  <c r="H34" i="1" s="1"/>
  <c r="AY33" i="1"/>
  <c r="AX33" i="1"/>
  <c r="AW33" i="1"/>
  <c r="AL33" i="1"/>
  <c r="AZ33" i="1" s="1"/>
  <c r="W33" i="1"/>
  <c r="F33" i="1"/>
  <c r="H33" i="1" s="1"/>
  <c r="AW32" i="1"/>
  <c r="AL32" i="1"/>
  <c r="AY32" i="1" s="1"/>
  <c r="W32" i="1"/>
  <c r="F32" i="1"/>
  <c r="H32" i="1" s="1"/>
  <c r="AW31" i="1"/>
  <c r="AL31" i="1"/>
  <c r="AZ31" i="1" s="1"/>
  <c r="W31" i="1"/>
  <c r="F31" i="1"/>
  <c r="H31" i="1" s="1"/>
  <c r="AZ30" i="1"/>
  <c r="AY30" i="1"/>
  <c r="AX30" i="1"/>
  <c r="AW30" i="1"/>
  <c r="AL30" i="1"/>
  <c r="W30" i="1"/>
  <c r="F30" i="1"/>
  <c r="H30" i="1" s="1"/>
  <c r="AW29" i="1"/>
  <c r="AL29" i="1"/>
  <c r="AZ29" i="1" s="1"/>
  <c r="W29" i="1"/>
  <c r="F29" i="1"/>
  <c r="H29" i="1" s="1"/>
  <c r="AY28" i="1"/>
  <c r="AW28" i="1"/>
  <c r="AL28" i="1"/>
  <c r="AX28" i="1" s="1"/>
  <c r="W28" i="1"/>
  <c r="H28" i="1"/>
  <c r="F28" i="1"/>
  <c r="AW27" i="1"/>
  <c r="AL27" i="1"/>
  <c r="AZ27" i="1" s="1"/>
  <c r="W27" i="1"/>
  <c r="F27" i="1"/>
  <c r="H27" i="1" s="1"/>
  <c r="AZ26" i="1"/>
  <c r="AY26" i="1"/>
  <c r="AX26" i="1"/>
  <c r="AW26" i="1"/>
  <c r="AL26" i="1"/>
  <c r="W26" i="1"/>
  <c r="F26" i="1"/>
  <c r="H26" i="1" s="1"/>
  <c r="AW25" i="1"/>
  <c r="AL25" i="1"/>
  <c r="AZ25" i="1" s="1"/>
  <c r="W25" i="1"/>
  <c r="F25" i="1"/>
  <c r="H25" i="1" s="1"/>
  <c r="AW24" i="1"/>
  <c r="AL24" i="1"/>
  <c r="AY24" i="1" s="1"/>
  <c r="W24" i="1"/>
  <c r="F24" i="1"/>
  <c r="H24" i="1" s="1"/>
  <c r="AW23" i="1"/>
  <c r="AL23" i="1"/>
  <c r="AZ23" i="1" s="1"/>
  <c r="W23" i="1"/>
  <c r="F23" i="1"/>
  <c r="H23" i="1" s="1"/>
  <c r="AW22" i="1"/>
  <c r="AL22" i="1"/>
  <c r="AY22" i="1" s="1"/>
  <c r="W22" i="1"/>
  <c r="F22" i="1"/>
  <c r="H22" i="1" s="1"/>
  <c r="AZ21" i="1"/>
  <c r="AY21" i="1"/>
  <c r="AW21" i="1"/>
  <c r="AL21" i="1"/>
  <c r="AX21" i="1" s="1"/>
  <c r="W21" i="1"/>
  <c r="F21" i="1"/>
  <c r="H21" i="1" s="1"/>
  <c r="AW20" i="1"/>
  <c r="AL20" i="1"/>
  <c r="AZ20" i="1" s="1"/>
  <c r="F20" i="1"/>
  <c r="H20" i="1" s="1"/>
  <c r="AZ19" i="1"/>
  <c r="AY19" i="1"/>
  <c r="AX19" i="1"/>
  <c r="AW19" i="1"/>
  <c r="AL19" i="1"/>
  <c r="W19" i="1"/>
  <c r="F19" i="1"/>
  <c r="H19" i="1" s="1"/>
  <c r="AW18" i="1"/>
  <c r="AL18" i="1"/>
  <c r="AZ18" i="1" s="1"/>
  <c r="W18" i="1"/>
  <c r="F18" i="1"/>
  <c r="H18" i="1" s="1"/>
  <c r="AY17" i="1"/>
  <c r="AW17" i="1"/>
  <c r="AL17" i="1"/>
  <c r="AZ17" i="1" s="1"/>
  <c r="W17" i="1"/>
  <c r="F17" i="1"/>
  <c r="H17" i="1" s="1"/>
  <c r="AK16" i="1"/>
  <c r="W16" i="1"/>
  <c r="F16" i="1"/>
  <c r="H16" i="1" s="1"/>
  <c r="AW15" i="1"/>
  <c r="AL15" i="1"/>
  <c r="AZ15" i="1" s="1"/>
  <c r="W15" i="1"/>
  <c r="F15" i="1"/>
  <c r="H15" i="1" s="1"/>
  <c r="AW14" i="1"/>
  <c r="AL14" i="1"/>
  <c r="AZ14" i="1" s="1"/>
  <c r="F14" i="1"/>
  <c r="H14" i="1" s="1"/>
  <c r="AW13" i="1"/>
  <c r="AL13" i="1"/>
  <c r="AZ13" i="1" s="1"/>
  <c r="W13" i="1"/>
  <c r="F13" i="1"/>
  <c r="H13" i="1" s="1"/>
  <c r="AW12" i="1"/>
  <c r="AL12" i="1"/>
  <c r="AX12" i="1" s="1"/>
  <c r="W12" i="1"/>
  <c r="F12" i="1"/>
  <c r="H12" i="1" s="1"/>
  <c r="AZ11" i="1"/>
  <c r="AY11" i="1"/>
  <c r="AX11" i="1"/>
  <c r="AW11" i="1"/>
  <c r="AL11" i="1"/>
  <c r="W11" i="1"/>
  <c r="F11" i="1"/>
  <c r="H11" i="1" s="1"/>
  <c r="AW10" i="1"/>
  <c r="AL10" i="1"/>
  <c r="AX10" i="1" s="1"/>
  <c r="W10" i="1"/>
  <c r="F10" i="1"/>
  <c r="H10" i="1" s="1"/>
  <c r="AW9" i="1"/>
  <c r="AL9" i="1"/>
  <c r="AZ9" i="1" s="1"/>
  <c r="W9" i="1"/>
  <c r="F9" i="1"/>
  <c r="H9" i="1" s="1"/>
  <c r="AW8" i="1"/>
  <c r="AL8" i="1"/>
  <c r="AY8" i="1" s="1"/>
  <c r="W8" i="1"/>
  <c r="F8" i="1"/>
  <c r="H8" i="1" s="1"/>
  <c r="AW7" i="1"/>
  <c r="AL7" i="1"/>
  <c r="W7" i="1"/>
  <c r="F7" i="1"/>
  <c r="H7" i="1" s="1"/>
  <c r="AW6" i="1"/>
  <c r="AL6" i="1"/>
  <c r="W6" i="1"/>
  <c r="F6" i="1"/>
  <c r="H6" i="1" s="1"/>
  <c r="AW5" i="1"/>
  <c r="AL5" i="1"/>
  <c r="AX5" i="1" s="1"/>
  <c r="W5" i="1"/>
  <c r="F5" i="1"/>
  <c r="H5" i="1" s="1"/>
  <c r="AX29" i="1" l="1"/>
  <c r="AX34" i="1"/>
  <c r="AX71" i="1"/>
  <c r="AX42" i="1"/>
  <c r="AY139" i="1"/>
  <c r="AZ139" i="1"/>
  <c r="AZ194" i="1"/>
  <c r="AY29" i="1"/>
  <c r="AX48" i="1"/>
  <c r="AX77" i="1"/>
  <c r="AZ93" i="1"/>
  <c r="AY42" i="1"/>
  <c r="AY48" i="1"/>
  <c r="AX56" i="1"/>
  <c r="H198" i="1"/>
  <c r="AZ232" i="1"/>
  <c r="AY240" i="1"/>
  <c r="AX22" i="1"/>
  <c r="AX110" i="1"/>
  <c r="AZ22" i="1"/>
  <c r="AY14" i="1"/>
  <c r="AX57" i="1"/>
  <c r="AZ59" i="1"/>
  <c r="AY119" i="1"/>
  <c r="AX14" i="1"/>
  <c r="AY15" i="1"/>
  <c r="AX17" i="1"/>
  <c r="AY57" i="1"/>
  <c r="AY85" i="1"/>
  <c r="AZ119" i="1"/>
  <c r="AX182" i="1"/>
  <c r="AZ195" i="1"/>
  <c r="AY194" i="1"/>
  <c r="AY210" i="1"/>
  <c r="AY265" i="1"/>
  <c r="AY284" i="1"/>
  <c r="AY68" i="1"/>
  <c r="AY36" i="1"/>
  <c r="AZ127" i="1"/>
  <c r="H144" i="1"/>
  <c r="AX176" i="1"/>
  <c r="AZ210" i="1"/>
  <c r="AX211" i="1"/>
  <c r="AX214" i="1"/>
  <c r="AZ284" i="1"/>
  <c r="AX36" i="1"/>
  <c r="AX92" i="1"/>
  <c r="AY5" i="1"/>
  <c r="AY92" i="1"/>
  <c r="V96" i="1"/>
  <c r="AZ168" i="1"/>
  <c r="AX186" i="1"/>
  <c r="AX18" i="1"/>
  <c r="AZ24" i="1"/>
  <c r="AZ5" i="1"/>
  <c r="AX40" i="1"/>
  <c r="AX51" i="1"/>
  <c r="AZ52" i="1"/>
  <c r="AX88" i="1"/>
  <c r="AZ107" i="1"/>
  <c r="AX169" i="1"/>
  <c r="AY186" i="1"/>
  <c r="G338" i="1"/>
  <c r="AY40" i="1"/>
  <c r="AY51" i="1"/>
  <c r="AR389" i="1"/>
  <c r="H95" i="1"/>
  <c r="AZ193" i="1"/>
  <c r="AX232" i="1"/>
  <c r="AY18" i="1"/>
  <c r="AY34" i="1"/>
  <c r="AZ43" i="1"/>
  <c r="AX9" i="1"/>
  <c r="AZ12" i="1"/>
  <c r="AX23" i="1"/>
  <c r="AX27" i="1"/>
  <c r="AX41" i="1"/>
  <c r="AX61" i="1"/>
  <c r="AZ77" i="1"/>
  <c r="AZ91" i="1"/>
  <c r="AL96" i="1"/>
  <c r="AY96" i="1" s="1"/>
  <c r="AZ110" i="1"/>
  <c r="AZ114" i="1"/>
  <c r="AX126" i="1"/>
  <c r="AX194" i="1"/>
  <c r="AZ196" i="1"/>
  <c r="AX204" i="1"/>
  <c r="AY273" i="1"/>
  <c r="AY283" i="1"/>
  <c r="AY23" i="1"/>
  <c r="AY27" i="1"/>
  <c r="AZ41" i="1"/>
  <c r="AZ49" i="1"/>
  <c r="AZ53" i="1"/>
  <c r="AX62" i="1"/>
  <c r="AX67" i="1"/>
  <c r="AX74" i="1"/>
  <c r="AL97" i="1"/>
  <c r="AY126" i="1"/>
  <c r="AZ273" i="1"/>
  <c r="AZ283" i="1"/>
  <c r="AY9" i="1"/>
  <c r="AY62" i="1"/>
  <c r="AY67" i="1"/>
  <c r="AY74" i="1"/>
  <c r="AX68" i="1"/>
  <c r="AX277" i="1"/>
  <c r="AX15" i="1"/>
  <c r="AX107" i="1"/>
  <c r="AX156" i="1"/>
  <c r="AY176" i="1"/>
  <c r="AZ180" i="1"/>
  <c r="AX99" i="1"/>
  <c r="AY127" i="1"/>
  <c r="AY156" i="1"/>
  <c r="AX181" i="1"/>
  <c r="AZ265" i="1"/>
  <c r="AX183" i="1"/>
  <c r="AL390" i="1"/>
  <c r="AL391" i="1" s="1"/>
  <c r="AY12" i="1"/>
  <c r="AZ65" i="1"/>
  <c r="AX91" i="1"/>
  <c r="AX94" i="1"/>
  <c r="AZ202" i="1"/>
  <c r="D321" i="1"/>
  <c r="J356" i="1"/>
  <c r="G343" i="1"/>
  <c r="AZ6" i="1"/>
  <c r="AY6" i="1"/>
  <c r="AX6" i="1"/>
  <c r="AU194" i="1"/>
  <c r="AU389" i="1" s="1"/>
  <c r="AY10" i="1"/>
  <c r="AX76" i="1"/>
  <c r="G322" i="1"/>
  <c r="C336" i="1" s="1"/>
  <c r="C322" i="1"/>
  <c r="AX146" i="1"/>
  <c r="AX158" i="1"/>
  <c r="AX179" i="1"/>
  <c r="AY390" i="1"/>
  <c r="AX390" i="1"/>
  <c r="AZ64" i="1"/>
  <c r="AY64" i="1"/>
  <c r="AX58" i="1"/>
  <c r="AZ10" i="1"/>
  <c r="AZ58" i="1"/>
  <c r="AZ60" i="1"/>
  <c r="AX60" i="1"/>
  <c r="AX64" i="1"/>
  <c r="AZ76" i="1"/>
  <c r="AZ108" i="1"/>
  <c r="AY108" i="1"/>
  <c r="AX108" i="1"/>
  <c r="AY114" i="1"/>
  <c r="AZ120" i="1"/>
  <c r="AY120" i="1"/>
  <c r="AX120" i="1"/>
  <c r="AY146" i="1"/>
  <c r="AY158" i="1"/>
  <c r="AX165" i="1"/>
  <c r="AY179" i="1"/>
  <c r="AY193" i="1"/>
  <c r="AY202" i="1"/>
  <c r="AX240" i="1"/>
  <c r="H172" i="1"/>
  <c r="AY83" i="1"/>
  <c r="BG83" i="1" s="1"/>
  <c r="AX84" i="1"/>
  <c r="AX130" i="1"/>
  <c r="AY157" i="1"/>
  <c r="BC188" i="1"/>
  <c r="G327" i="1"/>
  <c r="AZ178" i="1"/>
  <c r="AX178" i="1"/>
  <c r="AZ188" i="1"/>
  <c r="AY216" i="1"/>
  <c r="AW16" i="1"/>
  <c r="AZ32" i="1"/>
  <c r="AX32" i="1"/>
  <c r="AX47" i="1"/>
  <c r="AZ70" i="1"/>
  <c r="AX70" i="1"/>
  <c r="Y95" i="1"/>
  <c r="AX113" i="1"/>
  <c r="AY178" i="1"/>
  <c r="AZ216" i="1"/>
  <c r="AX8" i="1"/>
  <c r="AX20" i="1"/>
  <c r="AX39" i="1"/>
  <c r="AZ47" i="1"/>
  <c r="AZ83" i="1"/>
  <c r="AY84" i="1"/>
  <c r="AY113" i="1"/>
  <c r="AZ116" i="1"/>
  <c r="AY116" i="1"/>
  <c r="AX116" i="1"/>
  <c r="V131" i="1"/>
  <c r="H131" i="1"/>
  <c r="AZ157" i="1"/>
  <c r="AZ164" i="1"/>
  <c r="AX164" i="1"/>
  <c r="AY164" i="1"/>
  <c r="AY185" i="1"/>
  <c r="AZ218" i="1"/>
  <c r="AY218" i="1"/>
  <c r="AX218" i="1"/>
  <c r="AZ8" i="1"/>
  <c r="AY20" i="1"/>
  <c r="AY7" i="1"/>
  <c r="AZ7" i="1"/>
  <c r="AZ28" i="1"/>
  <c r="AY56" i="1"/>
  <c r="AZ112" i="1"/>
  <c r="AY112" i="1"/>
  <c r="AX144" i="1"/>
  <c r="AZ181" i="1"/>
  <c r="AL16" i="1"/>
  <c r="AY16" i="1" s="1"/>
  <c r="AX35" i="1"/>
  <c r="AZ38" i="1"/>
  <c r="AX38" i="1"/>
  <c r="AZ55" i="1"/>
  <c r="AX55" i="1"/>
  <c r="AZ109" i="1"/>
  <c r="AX109" i="1"/>
  <c r="AZ121" i="1"/>
  <c r="AX121" i="1"/>
  <c r="AZ141" i="1"/>
  <c r="AY141" i="1"/>
  <c r="AX141" i="1"/>
  <c r="AY144" i="1"/>
  <c r="AY147" i="1"/>
  <c r="AY166" i="1"/>
  <c r="AZ201" i="1"/>
  <c r="AY201" i="1"/>
  <c r="AX201" i="1"/>
  <c r="AZ268" i="1"/>
  <c r="AY268" i="1"/>
  <c r="AX268" i="1"/>
  <c r="AZ96" i="1"/>
  <c r="AX96" i="1"/>
  <c r="V175" i="1"/>
  <c r="C327" i="1" s="1"/>
  <c r="AY39" i="1"/>
  <c r="AX7" i="1"/>
  <c r="AZ35" i="1"/>
  <c r="G320" i="1"/>
  <c r="AX112" i="1"/>
  <c r="AY118" i="1"/>
  <c r="AZ147" i="1"/>
  <c r="AZ166" i="1"/>
  <c r="AX180" i="1"/>
  <c r="C352" i="1"/>
  <c r="J342" i="1"/>
  <c r="C329" i="1"/>
  <c r="AZ198" i="1"/>
  <c r="AY198" i="1"/>
  <c r="AX198" i="1"/>
  <c r="AZ142" i="1"/>
  <c r="AY142" i="1"/>
  <c r="AY95" i="1"/>
  <c r="AZ95" i="1"/>
  <c r="AZ185" i="1"/>
  <c r="AY38" i="1"/>
  <c r="AX52" i="1"/>
  <c r="AY55" i="1"/>
  <c r="AX65" i="1"/>
  <c r="AZ81" i="1"/>
  <c r="AY81" i="1"/>
  <c r="AY109" i="1"/>
  <c r="AZ118" i="1"/>
  <c r="AY121" i="1"/>
  <c r="K356" i="1"/>
  <c r="AX31" i="1"/>
  <c r="AX37" i="1"/>
  <c r="AX44" i="1"/>
  <c r="AX50" i="1"/>
  <c r="AX54" i="1"/>
  <c r="AX266" i="1"/>
  <c r="AY13" i="1"/>
  <c r="AY25" i="1"/>
  <c r="AY31" i="1"/>
  <c r="AY37" i="1"/>
  <c r="AY44" i="1"/>
  <c r="AY50" i="1"/>
  <c r="AY54" i="1"/>
  <c r="AY88" i="1"/>
  <c r="AY94" i="1"/>
  <c r="AZ99" i="1"/>
  <c r="AL140" i="1"/>
  <c r="AX140" i="1" s="1"/>
  <c r="AY169" i="1"/>
  <c r="AX200" i="1"/>
  <c r="AY204" i="1"/>
  <c r="AY211" i="1"/>
  <c r="AY214" i="1"/>
  <c r="AY266" i="1"/>
  <c r="AX13" i="1"/>
  <c r="AX25" i="1"/>
  <c r="AX24" i="1"/>
  <c r="AX43" i="1"/>
  <c r="AX49" i="1"/>
  <c r="AX53" i="1"/>
  <c r="AX59" i="1"/>
  <c r="AX93" i="1"/>
  <c r="AX104" i="1"/>
  <c r="AW140" i="1"/>
  <c r="AX168" i="1"/>
  <c r="AY187" i="1"/>
  <c r="AX187" i="1" s="1"/>
  <c r="AY200" i="1"/>
  <c r="AZ16" i="1" l="1"/>
  <c r="G321" i="1"/>
  <c r="C335" i="1" s="1"/>
  <c r="Y96" i="1"/>
  <c r="AZ97" i="1"/>
  <c r="AY97" i="1"/>
  <c r="AX97" i="1"/>
  <c r="AZ140" i="1"/>
  <c r="AY140" i="1"/>
  <c r="AX16" i="1"/>
  <c r="C353" i="1"/>
  <c r="C324" i="1"/>
  <c r="C334" i="1"/>
  <c r="C325" i="1"/>
  <c r="G332" i="1"/>
  <c r="C354" i="1"/>
  <c r="AL131" i="1"/>
  <c r="AX131" i="1" s="1"/>
  <c r="Y131" i="1"/>
  <c r="C333" i="1" l="1"/>
  <c r="G326" i="1"/>
  <c r="G328" i="1" s="1"/>
  <c r="G331" i="1" s="1"/>
  <c r="G333" i="1" s="1"/>
  <c r="C355" i="1"/>
  <c r="C357" i="1" s="1"/>
  <c r="C3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NESTOR DAVID GONZALEZ NAVARRO</author>
    <author>ALVARO FERNANDEZ OSPINA</author>
    <author>WILLIAM CAMILO RAMIREZ SIERRA</author>
  </authors>
  <commentList>
    <comment ref="AW5" authorId="0" shapeId="0" xr:uid="{613519BF-73A3-40D1-906D-6DEB356CDC9B}">
      <text>
        <r>
          <rPr>
            <b/>
            <sz val="9"/>
            <color indexed="81"/>
            <rFont val="Tahoma"/>
            <family val="2"/>
          </rPr>
          <t>NESTOR DAVID GONZALEZ NAVARRO:</t>
        </r>
        <r>
          <rPr>
            <sz val="9"/>
            <color indexed="81"/>
            <rFont val="Tahoma"/>
            <family val="2"/>
          </rPr>
          <t xml:space="preserve">
 es al mes</t>
        </r>
      </text>
    </comment>
    <comment ref="T57" authorId="0" shapeId="0" xr:uid="{9F2AD48D-BDB8-4241-A8B1-35AAC9ADC540}">
      <text>
        <r>
          <rPr>
            <b/>
            <sz val="9"/>
            <color indexed="81"/>
            <rFont val="Tahoma"/>
            <family val="2"/>
          </rPr>
          <t>NESTOR DAVID GONZALEZ NAVARRO:</t>
        </r>
        <r>
          <rPr>
            <sz val="9"/>
            <color indexed="81"/>
            <rFont val="Tahoma"/>
            <family val="2"/>
          </rPr>
          <t xml:space="preserve">
original 29mar, pero se modifica en comité 24 del 5abr</t>
        </r>
      </text>
    </comment>
    <comment ref="R107" authorId="0" shapeId="0" xr:uid="{F71616C7-6780-4A1E-BA39-8309874798EA}">
      <text>
        <r>
          <rPr>
            <b/>
            <sz val="9"/>
            <color indexed="81"/>
            <rFont val="Tahoma"/>
            <family val="2"/>
          </rPr>
          <t>NESTOR DAVID GONZALEZ NAVARRO:</t>
        </r>
        <r>
          <rPr>
            <sz val="9"/>
            <color indexed="81"/>
            <rFont val="Tahoma"/>
            <family val="2"/>
          </rPr>
          <t xml:space="preserve">
La convocatoria O-100 fue declarada desierta y se abrió la O-117
</t>
        </r>
      </text>
    </comment>
    <comment ref="R109" authorId="0" shapeId="0" xr:uid="{A862FADC-6726-41EF-B150-52490592EA33}">
      <text>
        <r>
          <rPr>
            <b/>
            <sz val="9"/>
            <color indexed="81"/>
            <rFont val="Tahoma"/>
            <family val="2"/>
          </rPr>
          <t>NESTOR DAVID GONZALEZ NAVARRO:</t>
        </r>
        <r>
          <rPr>
            <sz val="9"/>
            <color indexed="81"/>
            <rFont val="Tahoma"/>
            <family val="2"/>
          </rPr>
          <t xml:space="preserve">
La convocatoria PAF-ATMINDEPORTE-O-101-2022 fue declarada desierta</t>
        </r>
      </text>
    </comment>
    <comment ref="V161" authorId="1" shapeId="0" xr:uid="{0B096DBA-F729-49AC-9256-D38EFE4F1ABA}">
      <text>
        <r>
          <rPr>
            <b/>
            <sz val="9"/>
            <color indexed="81"/>
            <rFont val="Tahoma"/>
            <family val="2"/>
          </rPr>
          <t>ALVARO FERNANDEZ OSPINA:</t>
        </r>
        <r>
          <rPr>
            <sz val="9"/>
            <color indexed="81"/>
            <rFont val="Tahoma"/>
            <family val="2"/>
          </rPr>
          <t xml:space="preserve">
CDR Anulado</t>
        </r>
      </text>
    </comment>
    <comment ref="O188" authorId="2" shapeId="0" xr:uid="{3888E011-553D-4A56-AFD9-F18527DA9FA5}">
      <text>
        <r>
          <rPr>
            <b/>
            <sz val="9"/>
            <color indexed="81"/>
            <rFont val="Tahoma"/>
            <family val="2"/>
          </rPr>
          <t>WILLIAM CAMILO RAMIREZ SIERRA:</t>
        </r>
        <r>
          <rPr>
            <sz val="9"/>
            <color indexed="81"/>
            <rFont val="Tahoma"/>
            <family val="2"/>
          </rPr>
          <t xml:space="preserve">
El CDR lo realizaon con fuente de recursos Nación</t>
        </r>
      </text>
    </comment>
    <comment ref="P188" authorId="2" shapeId="0" xr:uid="{DEB99E40-C84C-46A3-AD99-960860038242}">
      <text>
        <r>
          <rPr>
            <b/>
            <sz val="9"/>
            <color indexed="81"/>
            <rFont val="Tahoma"/>
            <family val="2"/>
          </rPr>
          <t xml:space="preserve">WILLIAM CAMILO RAMIREZ SIERRA:
</t>
        </r>
        <r>
          <rPr>
            <sz val="9"/>
            <color indexed="81"/>
            <rFont val="Tahoma"/>
            <family val="2"/>
          </rPr>
          <t>El CDR lo realizaon con fuente de recursos Nación</t>
        </r>
      </text>
    </comment>
    <comment ref="O192" authorId="2" shapeId="0" xr:uid="{A92679AE-04F6-4C5C-B8DC-808A92D6ED44}">
      <text>
        <r>
          <rPr>
            <b/>
            <sz val="9"/>
            <color indexed="81"/>
            <rFont val="Tahoma"/>
            <family val="2"/>
          </rPr>
          <t>WILLIAM CAMILO RAMIREZ SIERRA:</t>
        </r>
        <r>
          <rPr>
            <sz val="9"/>
            <color indexed="81"/>
            <rFont val="Tahoma"/>
            <family val="2"/>
          </rPr>
          <t xml:space="preserve">
El CDR lo realizaon con fuente de recursos Nación</t>
        </r>
      </text>
    </comment>
    <comment ref="P192" authorId="2" shapeId="0" xr:uid="{5B3713E4-E546-4B5D-ABD4-66286CAF83CE}">
      <text>
        <r>
          <rPr>
            <b/>
            <sz val="9"/>
            <color indexed="81"/>
            <rFont val="Tahoma"/>
            <family val="2"/>
          </rPr>
          <t>WILLIAM CAMILO RAMIREZ SIERRA:</t>
        </r>
        <r>
          <rPr>
            <sz val="9"/>
            <color indexed="81"/>
            <rFont val="Tahoma"/>
            <family val="2"/>
          </rPr>
          <t xml:space="preserve">
El CDR se expidió con fuente Nación), pero es municipio</t>
        </r>
      </text>
    </comment>
    <comment ref="M240" authorId="1" shapeId="0" xr:uid="{C84DB394-C349-4324-8250-3033EB4D8318}">
      <text>
        <r>
          <rPr>
            <b/>
            <sz val="9"/>
            <color indexed="81"/>
            <rFont val="Tahoma"/>
            <family val="2"/>
          </rPr>
          <t>ALVARO FERNANDEZ OSPINA:</t>
        </r>
        <r>
          <rPr>
            <sz val="9"/>
            <color indexed="81"/>
            <rFont val="Tahoma"/>
            <family val="2"/>
          </rPr>
          <t xml:space="preserve">
el CDP que se incluyó en el CDR inicialmente fue el 176921 </t>
        </r>
      </text>
    </comment>
    <comment ref="M243" authorId="1" shapeId="0" xr:uid="{986614CE-4D09-437C-A8B0-A7E28BAF7A29}">
      <text>
        <r>
          <rPr>
            <b/>
            <sz val="9"/>
            <color indexed="81"/>
            <rFont val="Tahoma"/>
            <family val="2"/>
          </rPr>
          <t>ALVARO FERNANDEZ OSPINA:</t>
        </r>
        <r>
          <rPr>
            <sz val="9"/>
            <color indexed="81"/>
            <rFont val="Tahoma"/>
            <family val="2"/>
          </rPr>
          <t xml:space="preserve">
El CDR quedó imputado al CDP 188321, pero debió quedar al CDP 176921 </t>
        </r>
      </text>
    </comment>
    <comment ref="F274" authorId="2" shapeId="0" xr:uid="{6024F5AC-DD4D-4F26-9517-9B4BF81DBDF3}">
      <text>
        <r>
          <rPr>
            <b/>
            <sz val="9"/>
            <color indexed="81"/>
            <rFont val="Tahoma"/>
            <family val="2"/>
          </rPr>
          <t>WILLIAM CAMILO RAMIREZ SIERRA:</t>
        </r>
        <r>
          <rPr>
            <sz val="9"/>
            <color indexed="81"/>
            <rFont val="Tahoma"/>
            <family val="2"/>
          </rPr>
          <t xml:space="preserve">
CONVOCATORIA DESIERTA</t>
        </r>
      </text>
    </comment>
    <comment ref="V286" authorId="2" shapeId="0" xr:uid="{CD7AF66F-26B5-4072-B51F-500E4E383A94}">
      <text>
        <r>
          <rPr>
            <b/>
            <sz val="9"/>
            <color indexed="81"/>
            <rFont val="Tahoma"/>
            <family val="2"/>
          </rPr>
          <t>WILLIAM CAMILO RAMIREZ SIERRA:</t>
        </r>
        <r>
          <rPr>
            <sz val="9"/>
            <color indexed="81"/>
            <rFont val="Tahoma"/>
            <family val="2"/>
          </rPr>
          <t xml:space="preserve">
PENDIENTE POR DEFINIR EL VALO REAL 28/01/2026</t>
        </r>
      </text>
    </comment>
    <comment ref="V287" authorId="2" shapeId="0" xr:uid="{58B5C168-222B-448A-8BFA-AB0FCC819CB4}">
      <text>
        <r>
          <rPr>
            <b/>
            <sz val="9"/>
            <color indexed="81"/>
            <rFont val="Tahoma"/>
            <family val="2"/>
          </rPr>
          <t>WILLIAM CAMILO RAMIREZ SIERRA:</t>
        </r>
        <r>
          <rPr>
            <sz val="9"/>
            <color indexed="81"/>
            <rFont val="Tahoma"/>
            <family val="2"/>
          </rPr>
          <t xml:space="preserve">
PENDIENTE POR DEFINIR EL VALOR REAL 28/01/2026</t>
        </r>
      </text>
    </comment>
    <comment ref="V288" authorId="2" shapeId="0" xr:uid="{E34980E3-A9FF-4FC2-BE2B-E2E47B6C8A4F}">
      <text>
        <r>
          <rPr>
            <b/>
            <sz val="9"/>
            <color indexed="81"/>
            <rFont val="Tahoma"/>
            <family val="2"/>
          </rPr>
          <t>WILLIAM CAMILO RAMIREZ SIERRA:</t>
        </r>
        <r>
          <rPr>
            <sz val="9"/>
            <color indexed="81"/>
            <rFont val="Tahoma"/>
            <family val="2"/>
          </rPr>
          <t xml:space="preserve">
PENDIENTE POR DEFINIR EL VALOR REAL 28/01/2026</t>
        </r>
      </text>
    </comment>
    <comment ref="V289" authorId="2" shapeId="0" xr:uid="{8419ADF8-9AB0-4257-B7BE-26501EBC4E6D}">
      <text>
        <r>
          <rPr>
            <b/>
            <sz val="9"/>
            <color indexed="81"/>
            <rFont val="Tahoma"/>
            <family val="2"/>
          </rPr>
          <t>WILLIAM CAMILO RAMIREZ SIERRA:</t>
        </r>
        <r>
          <rPr>
            <sz val="9"/>
            <color indexed="81"/>
            <rFont val="Tahoma"/>
            <family val="2"/>
          </rPr>
          <t xml:space="preserve">
PENDIENTE POR DEFINIR EL VALOR REAL 28/01/2026</t>
        </r>
      </text>
    </comment>
    <comment ref="V290" authorId="2" shapeId="0" xr:uid="{C6DE25EB-C5CA-4BD3-B5CF-47F023E83D54}">
      <text>
        <r>
          <rPr>
            <b/>
            <sz val="9"/>
            <color indexed="81"/>
            <rFont val="Tahoma"/>
            <family val="2"/>
          </rPr>
          <t>WILLIAM CAMILO RAMIREZ SIERRA:</t>
        </r>
        <r>
          <rPr>
            <sz val="9"/>
            <color indexed="81"/>
            <rFont val="Tahoma"/>
            <family val="2"/>
          </rPr>
          <t xml:space="preserve">
PENDIENTE POR DEFINIR EL VALOR REAL 28/01/2026</t>
        </r>
      </text>
    </comment>
    <comment ref="V291" authorId="2" shapeId="0" xr:uid="{7D1E1867-3F9E-42F0-AE01-D6913659DB2D}">
      <text>
        <r>
          <rPr>
            <b/>
            <sz val="9"/>
            <color indexed="81"/>
            <rFont val="Tahoma"/>
            <family val="2"/>
          </rPr>
          <t>WILLIAM CAMILO RAMIREZ SIERRA:</t>
        </r>
        <r>
          <rPr>
            <sz val="9"/>
            <color indexed="81"/>
            <rFont val="Tahoma"/>
            <family val="2"/>
          </rPr>
          <t xml:space="preserve">
PENDIENTE POR DEFINIR EL VALOR REAL 28/01/2026</t>
        </r>
      </text>
    </comment>
    <comment ref="V292" authorId="2" shapeId="0" xr:uid="{7BCC2E4B-9E74-4CF3-9467-BF0967AFAAFB}">
      <text>
        <r>
          <rPr>
            <b/>
            <sz val="9"/>
            <color indexed="81"/>
            <rFont val="Tahoma"/>
            <family val="2"/>
          </rPr>
          <t>WILLIAM CAMILO RAMIREZ SIERRA:</t>
        </r>
        <r>
          <rPr>
            <sz val="9"/>
            <color indexed="81"/>
            <rFont val="Tahoma"/>
            <family val="2"/>
          </rPr>
          <t xml:space="preserve">
PENDIENTE POR DEFINIR EL VALOR REAL 28/01/2026</t>
        </r>
      </text>
    </comment>
    <comment ref="V293" authorId="2" shapeId="0" xr:uid="{35F35C96-E886-46BC-A454-79E7E3598BC7}">
      <text>
        <r>
          <rPr>
            <b/>
            <sz val="9"/>
            <color indexed="81"/>
            <rFont val="Tahoma"/>
            <family val="2"/>
          </rPr>
          <t>WILLIAM CAMILO RAMIREZ SIERRA:</t>
        </r>
        <r>
          <rPr>
            <sz val="9"/>
            <color indexed="81"/>
            <rFont val="Tahoma"/>
            <family val="2"/>
          </rPr>
          <t xml:space="preserve">
PENDIENTE POR DEFINIR EL VALOR REAL 28/01/2026</t>
        </r>
      </text>
    </comment>
    <comment ref="V294" authorId="2" shapeId="0" xr:uid="{6A1D2279-6735-44CE-8979-B3B07C1DF704}">
      <text>
        <r>
          <rPr>
            <b/>
            <sz val="9"/>
            <color indexed="81"/>
            <rFont val="Tahoma"/>
            <family val="2"/>
          </rPr>
          <t>WILLIAM CAMILO RAMIREZ SIERRA:</t>
        </r>
        <r>
          <rPr>
            <sz val="9"/>
            <color indexed="81"/>
            <rFont val="Tahoma"/>
            <family val="2"/>
          </rPr>
          <t xml:space="preserve">
PENDIENTE POR DEFINIR EL VALOR REAL 28/01/2026</t>
        </r>
      </text>
    </comment>
    <comment ref="V295" authorId="2" shapeId="0" xr:uid="{2A6B0456-9D93-40E1-8280-BB9A2FDD77F1}">
      <text>
        <r>
          <rPr>
            <b/>
            <sz val="9"/>
            <color indexed="81"/>
            <rFont val="Tahoma"/>
            <family val="2"/>
          </rPr>
          <t>WILLIAM CAMILO RAMIREZ SIERRA:</t>
        </r>
        <r>
          <rPr>
            <sz val="9"/>
            <color indexed="81"/>
            <rFont val="Tahoma"/>
            <family val="2"/>
          </rPr>
          <t xml:space="preserve">
PENDIENTE POR DEFINIR EL VALOR REAL 28/01/2026</t>
        </r>
      </text>
    </comment>
    <comment ref="V300" authorId="2" shapeId="0" xr:uid="{F7B4A3B7-49A3-4B1E-9F08-8C5B4817ED04}">
      <text>
        <r>
          <rPr>
            <b/>
            <sz val="9"/>
            <color indexed="81"/>
            <rFont val="Tahoma"/>
            <family val="2"/>
          </rPr>
          <t>WILLIAM CAMILO RAMIREZ SIERRA:</t>
        </r>
        <r>
          <rPr>
            <sz val="9"/>
            <color indexed="81"/>
            <rFont val="Tahoma"/>
            <family val="2"/>
          </rPr>
          <t xml:space="preserve">
PENDIENTE POR DEFINIR EL VALO REAL 28/01/2026</t>
        </r>
      </text>
    </comment>
  </commentList>
</comments>
</file>

<file path=xl/sharedStrings.xml><?xml version="1.0" encoding="utf-8"?>
<sst xmlns="http://schemas.openxmlformats.org/spreadsheetml/2006/main" count="5228" uniqueCount="1355">
  <si>
    <t>CDR</t>
  </si>
  <si>
    <t>OBJETO</t>
  </si>
  <si>
    <t>Monto Viabilidad</t>
  </si>
  <si>
    <t>Fecha Elaboración</t>
  </si>
  <si>
    <t>Proceso de contratación 1</t>
  </si>
  <si>
    <t>CDR emitidos (no desierta)</t>
  </si>
  <si>
    <t>Proceso de contratación 2</t>
  </si>
  <si>
    <t>Valor 2</t>
  </si>
  <si>
    <t>Municipio</t>
  </si>
  <si>
    <t>Departamento</t>
  </si>
  <si>
    <t xml:space="preserve">Concepto de Viabilidad </t>
  </si>
  <si>
    <t>Fecha del Concepto de Viabilidad:</t>
  </si>
  <si>
    <t>CDP</t>
  </si>
  <si>
    <t>Fecha CDP</t>
  </si>
  <si>
    <t>Fuente recurso</t>
  </si>
  <si>
    <t>Entidad que expide</t>
  </si>
  <si>
    <t>Observaciones</t>
  </si>
  <si>
    <t>Convocatoria</t>
  </si>
  <si>
    <t>Tipo convocatoria</t>
  </si>
  <si>
    <t>Fecha Adjudicación</t>
  </si>
  <si>
    <t>Afecta CDP</t>
  </si>
  <si>
    <t>Valor adjudicado</t>
  </si>
  <si>
    <t>Valor Original</t>
  </si>
  <si>
    <t>FUENTE CDP</t>
  </si>
  <si>
    <t>Adición</t>
  </si>
  <si>
    <t>Estado del contrato</t>
  </si>
  <si>
    <t>Valor liberado A.L</t>
  </si>
  <si>
    <t>Contrato</t>
  </si>
  <si>
    <t>Fecha de suscripción</t>
  </si>
  <si>
    <t>NIT o cédula</t>
  </si>
  <si>
    <t>Contratista</t>
  </si>
  <si>
    <t>Fecha Acta Inicio</t>
  </si>
  <si>
    <t>Fecha termina Et1</t>
  </si>
  <si>
    <t>PLAZO (Fase II y Fase I)</t>
  </si>
  <si>
    <t>Suspensiones, prórrogas</t>
  </si>
  <si>
    <t>Fecha t Anticipada</t>
  </si>
  <si>
    <t>Vlr Etapa Revisión estudios</t>
  </si>
  <si>
    <t>Etapa construcción</t>
  </si>
  <si>
    <t>A</t>
  </si>
  <si>
    <t>I</t>
  </si>
  <si>
    <t>U</t>
  </si>
  <si>
    <t>IVA</t>
  </si>
  <si>
    <t>COSTOS DIRECTOS</t>
  </si>
  <si>
    <t>Admin</t>
  </si>
  <si>
    <t>Impre</t>
  </si>
  <si>
    <t>Uti</t>
  </si>
  <si>
    <t>Retegarantía</t>
  </si>
  <si>
    <t>Pago 1 estudio (100%)</t>
  </si>
  <si>
    <t>Pago Fijo (50%)</t>
  </si>
  <si>
    <t>Pago Variable (40%)</t>
  </si>
  <si>
    <t>Pago Final (10%)</t>
  </si>
  <si>
    <t>Supervisor</t>
  </si>
  <si>
    <t>Gutierrez estudio</t>
  </si>
  <si>
    <t>pago Fijo gut $154.016.436</t>
  </si>
  <si>
    <t>pago variable</t>
  </si>
  <si>
    <t>Fusagasugá Estudio</t>
  </si>
  <si>
    <t>pago fijo fusa $73.769.616</t>
  </si>
  <si>
    <t>pago variable  fusa</t>
  </si>
  <si>
    <t>Saldo a liberar a favor del P.A</t>
  </si>
  <si>
    <t>Estado del Cto</t>
  </si>
  <si>
    <t>REVISIÓN DE ESTUDIOS Y DISEÑOS Y LA “INTERVENTORÍA INTEGRAL (ADMINISTRATIVA, FINANCIERA, CONTABLE, AMBIENTAL, SOCIAL, JURÍDICA Y TÉCNICA) A LA CONSTRUCCIÓN PRIMERA ETAPA DEL CENTRO DE ALTO RENDIMIENTO DEPORTIVO REGIONAL EN EL MUNICIPIO DE APARTADÓ – DEPARTAMENTO DE ANTIOQUIA</t>
  </si>
  <si>
    <t>Interventoría</t>
  </si>
  <si>
    <t xml:space="preserve">   --</t>
  </si>
  <si>
    <t>APARTADÓ</t>
  </si>
  <si>
    <t>ANTIOQUIA</t>
  </si>
  <si>
    <t>ESTUDIOS PREVIOS APROBADOS EN COMITÉ TÉCNICO N° 1 DE FECHA 9/02/2022</t>
  </si>
  <si>
    <t>Presupuesto Nacional 
Inversión</t>
  </si>
  <si>
    <t>*Se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 A la fecha el Patrimonio Autónomo no cuenta con la totalidad de recursos establecidos en el Contrato No. COI-1364-2021, dado que los mismos, serán entregados a FINDETER de acuerdo con la disponibilidad de PAC.</t>
  </si>
  <si>
    <t>PAF-ATMINDEPORTE-I-009-2022</t>
  </si>
  <si>
    <t>Pública</t>
  </si>
  <si>
    <t>Vigente</t>
  </si>
  <si>
    <t>3-1-102452-COI-1364-01</t>
  </si>
  <si>
    <t>9m1m</t>
  </si>
  <si>
    <t>17d+30d+1m+1m+1m+9d+1m+2m+2d+1m</t>
  </si>
  <si>
    <t>jeriverac;</t>
  </si>
  <si>
    <t>REVISIÓN DE ESTUDIOS Y DISEÑOS Y LA “INTERVENTORÍA INTEGRAL (ADMINISTRATIVA, FINANCIERA, CONTABLE, AMBIENTAL, SOCIAL, JURÍDICA Y TÉCNICA) A LA CONSTRUCCIÓN Y DOTACIÓN DE PLACA DEPORTIVA CUBIERTA EN EL CORREGIMIENTO EL GUADUAL DEL MUNICIPIO DE ARBOLETES – DEPARTAMENTO DE ANTIOQUIA".</t>
  </si>
  <si>
    <t>ARBOLETES</t>
  </si>
  <si>
    <t>ESTUDIOS PREVIOS APROBADOS EN COMITÉ TÉCNICO N° 3 DE FECHA 11/02/2022</t>
  </si>
  <si>
    <t>PAF-ATMINDEPORTE-I-011-2022</t>
  </si>
  <si>
    <t>Liquidado</t>
  </si>
  <si>
    <t>3-1-102452-COI-1364-04</t>
  </si>
  <si>
    <t>8m15d</t>
  </si>
  <si>
    <t>15d+10d</t>
  </si>
  <si>
    <t>gacandia;</t>
  </si>
  <si>
    <t>REVISIÓN DE ESTUDIOS Y DISEÑOS Y LA “INTERVENTORÍA INTEGRAL (ADMINISTRATIVA, FINANCIERA, CONTABLE, AMBIENTAL, SOCIAL, JURÍDICA Y TÉCNICA) A LA CONSTRUCCION COMPLEJO DEPORTIVO EN EL SECTOR LA MESETA DEL MUNICIPIO DE GIRON SANTANDER</t>
  </si>
  <si>
    <t>Interventoría de Obra</t>
  </si>
  <si>
    <t>GIRÓN</t>
  </si>
  <si>
    <t>SANTANDER</t>
  </si>
  <si>
    <t>ESTUDIOS PREVIOS APROBADOS EN COMITÉ TÉCNICO N° 1 DE FECHA 11/02/2022</t>
  </si>
  <si>
    <t>PAF-ATMINDEPORTE-I-012-2022</t>
  </si>
  <si>
    <t>3-1-102452-COI-1364-05</t>
  </si>
  <si>
    <t>17m1m</t>
  </si>
  <si>
    <t>1m+20d;2m</t>
  </si>
  <si>
    <t>REVISIÓN DE ESTUDIOS Y DISEÑOS Y LA “INTERVENTORÍA INTEGRAL (ADMINISTRATIVA, FINANCIERA, CONTABLE, AMBIENTAL, SOCIAL, JURÍDICA Y TÉCNICA) PARA LA CONSTRUCCIÓN DEL COLISEO DE COMBATE YUBERGEN MARTINEZ, EN EL MUNICIPIO DE CHIGORODO - ANTIOQUIA”.</t>
  </si>
  <si>
    <t>CHIGORODÓ</t>
  </si>
  <si>
    <t>PAF-ATMINDEPORTE-I-013-2022</t>
  </si>
  <si>
    <t>3-1-102452-COI-1364-02</t>
  </si>
  <si>
    <t>10m15d</t>
  </si>
  <si>
    <t>15d+15d+17d</t>
  </si>
  <si>
    <t>cybula;</t>
  </si>
  <si>
    <t>REVISIÓN A ESTUDIOS Y DISEÑOS Y LA INTERVENTORÍA INTEGRAL (ADMINISTRATIVA, FINANCIERA, CONTABLE, AMBIENTAL, SOCIAL, JURÍDICA Y TÉCNICA) A LA CONSTRUCCIÓN DE PISTA DE CICLOMONTAÑISMO Y SENDERISMO DE MIRAMAR BARRANQUILLA.</t>
  </si>
  <si>
    <t>BARRANQUILLA</t>
  </si>
  <si>
    <t>ATLÁNTICO</t>
  </si>
  <si>
    <t>PAF-ATMINDEPORTE-I-010-2022</t>
  </si>
  <si>
    <t>Terminado en proceso de liquidación</t>
  </si>
  <si>
    <t>3-1-102452-COI-1364-03</t>
  </si>
  <si>
    <t>14m1m</t>
  </si>
  <si>
    <t>30d+11d+4m</t>
  </si>
  <si>
    <t>jacastillo;</t>
  </si>
  <si>
    <t>REVISIÓN DE ESTUDIOS Y DISEÑOS Y LA INTERVENTORÍA INTEGRAL (ADMINISTRATIVA, FINANCIERA, CONTABLE, AMBIENTAL, SOCIAL, JURÍDICA Y TÉCNICA) PARA LA CONSTRUCCIÓN DE PLACAS DEPORTIVAS EN EL BARRIO SAN FERNANDO, EN EL MUNICIPIO DE MALAMBO, DEPARTAMENTO DEL ATLÁNTICO.</t>
  </si>
  <si>
    <t>MALAMBO</t>
  </si>
  <si>
    <t>ESTUDIOS PREVIOS APROBADOS EN COMITÉ TÉCNICO N° 8 DE FECHA 18/02/2022</t>
  </si>
  <si>
    <t xml:space="preserve">*Se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t>
  </si>
  <si>
    <t>PAF-ATMINDEPORTE-I-034-2022</t>
  </si>
  <si>
    <t>3-1-102452-COI-1364-17</t>
  </si>
  <si>
    <t>9m15d</t>
  </si>
  <si>
    <t>15d</t>
  </si>
  <si>
    <t>ajlara;</t>
  </si>
  <si>
    <t>REVISIÓN DE ESTUDIOS Y DISEÑOS Y LA INTERVENTORÍA INTEGRAL (ADMINISTRATIVA, FINANCIERA, CONTABLE, AMBIENTAL, SOCIAL, JURÍDICA Y TÉCNICA) PARA LA CONSTRUCCIÓN DEL POLIDEPORTIVO CUBIERTO DE LA ESCUELA POLICARPA SALAVARRIETA DEL MUNICIPIO DE GUTIERREZ CUNDINAMARCA SEGÚN CONVENIO COID-1264-202.</t>
  </si>
  <si>
    <t>GUTIERREZ</t>
  </si>
  <si>
    <t>CUNDINAMARCA</t>
  </si>
  <si>
    <t>ESTUDIOS PREVIOS APROBADOS EN COMITÉ TÉCNICO N° 7 DE FECHA 17/02/2022</t>
  </si>
  <si>
    <t>PAF-ATMINDEPORTE-I-026-2022</t>
  </si>
  <si>
    <t>desierta</t>
  </si>
  <si>
    <t>no</t>
  </si>
  <si>
    <t>n/a</t>
  </si>
  <si>
    <t>Convocatoria desierta</t>
  </si>
  <si>
    <t>N/A</t>
  </si>
  <si>
    <t>REVISIÓN DE ESTUDIOS Y DISEÑOS Y LA INTERVENTORÍA INTEGRAL (ADMINISTRATIVA, FINANCIERA, CONTABLE, AMBIENTAL, SOCIAL, JURÍDICA Y TÉCNICA) PARA LA  CONSTRUCCIÓN DE ESCENARIO RECREODEPORTIVO CANCHA FÚTBOL 11, GRADERÍAS, CAMERINOS Y BATERÍA SANITARIA EN EL CORREGIMIENTO DE SAN BASILIO DE PALENQUE, MUNICIPIO DE MAHATES.</t>
  </si>
  <si>
    <t>MAHATES</t>
  </si>
  <si>
    <t>BOLIVAR</t>
  </si>
  <si>
    <t>PAF-ATMINDEPORTE-I-025-2022</t>
  </si>
  <si>
    <t>3-1-102452-COI-1364-27</t>
  </si>
  <si>
    <t>30d+1m+10d</t>
  </si>
  <si>
    <t>REVISIÓN DE ESTUDIOS Y DISEÑOS Y LA INTERVENTORÍA INTEGRAL (ADMINISTRATIVA, FINANCIERA, CONTABLE, AMBIENTAL, SOCIAL, JURÍDICA Y TÉCNICA) PARA LA  CONSTRUCCION DE CANCHA SINTÉTICA EN EL ESTADIO MUNICIPAL Y OBRAS COMPLEMENTARIAS PARA EL MUNICIPIO DE QUINCHÍA.</t>
  </si>
  <si>
    <t>QUINCHÍA</t>
  </si>
  <si>
    <t>RISARALDA</t>
  </si>
  <si>
    <t>PAF-ATMINDEPORTE-I-032-2022</t>
  </si>
  <si>
    <t>3-1-102452-COI-1364-16</t>
  </si>
  <si>
    <t>REVISIÓN DE ESTUDIOS Y DISEÑOS Y LA INTERVENTORÍA INTEGRAL (ADMINISTRATIVA, FINANCIERA, CONTABLE, AMBIENTAL, SOCIAL, JURÍDICA Y TÉCNICA) PARA LA  CONSTRUCCION DE LA CANCHA EN GRAMA SINTETICA Y DEMAS OBRAS COMPLEMENTARIAS EN EL CORREGIMIENTO DE SAN FRANCISCO, LINARES – NARIÑO.</t>
  </si>
  <si>
    <t>LINARES</t>
  </si>
  <si>
    <t>NARIÑO</t>
  </si>
  <si>
    <t>PAF-ATMINDEPORTE-I-035-2022</t>
  </si>
  <si>
    <t>Cancelado sin adjudicar</t>
  </si>
  <si>
    <t>3-1-102452-COI-1364-58</t>
  </si>
  <si>
    <t>cancelación 1jun</t>
  </si>
  <si>
    <t>Adjudicado sin efectos</t>
  </si>
  <si>
    <t>REVISIÓN DE ESTUDIOS Y DISEÑOS Y LA INTERVENTORÍA INTEGRAL (ADMINISTRATIVA, FINANCIERA, CONTABLE, AMBIENTAL, SOCIAL, JURÍDICA Y TÉCNICA) PARA LA  ADECUACIÓN Y MEJORAMIENTO DEL ESTADIO MUNICIPAL LA VICTORIA DEL MUNICIPIO DE SAMANIEGO-NARIÑO.</t>
  </si>
  <si>
    <t>SAMANIEGO</t>
  </si>
  <si>
    <t>PAF-ATMINDEPORTE-I-033-2022</t>
  </si>
  <si>
    <t>3-1-102452-COI-1364-10</t>
  </si>
  <si>
    <t>11m15d</t>
  </si>
  <si>
    <t>15d+14d+12d+15d+17d+1m+1m+4m+1m+15d</t>
  </si>
  <si>
    <t>REVISIÓN DE ESTUDIOS Y DISEÑOS Y LA INTERVENTORÍA INTEGRAL (ADMINISTRATIVA, FINANCIERA, CONTABLE, AMBIENTAL, SOCIAL, JURÍDICA Y TÉCNICA) AL MEJORAMIENTO DEL POLIDEPORTIVO DE LA CABECERA MUNICIPAL - OLAYA HERRERA - NARIÑO.</t>
  </si>
  <si>
    <t>OLAYA HERRERA</t>
  </si>
  <si>
    <t>PAF-ATMINDEPORTE-I-023-2022</t>
  </si>
  <si>
    <t>3-1-102452-COI-1364-23</t>
  </si>
  <si>
    <t>15d+15d+15d+1m+1m+s1m+p1m</t>
  </si>
  <si>
    <t>REVISIÓN DE ESTUDIOS Y DISEÑOS Y LA INTERVENTORÍA INTEGRAL (ADMINISTRATIVA, FINANCIERA, CONTABLE, AMBIENTAL, SOCIAL, JURÍDICA Y TÉCNICA) PARA LA CONSTRUCCIÓN DE A LA CANCHA MULTIFUNCIONAL EN EL CORREGIMIENTO DE SAN RAFAEL – MUNICIPIO DE REMOLINO.</t>
  </si>
  <si>
    <t>REMOLINO</t>
  </si>
  <si>
    <t>MAGDALENA</t>
  </si>
  <si>
    <t>PAF-ATMINDEPORTE-I-028-2022</t>
  </si>
  <si>
    <t>3-1-102452-COI-1364-18</t>
  </si>
  <si>
    <t>6m15d</t>
  </si>
  <si>
    <t>15d+30d</t>
  </si>
  <si>
    <t>aitunjo;</t>
  </si>
  <si>
    <t>REVISIÓN DE ESTUDIOS Y DISEÑOS Y LA INTERVENTORÍA INTEGRAL (ADMINISTRATIVA, FINANCIERA, CONTABLE, AMBIENTAL, SOCIAL, JURÍDICA Y TÉCNICA) A LA CONSTRUCCIÓN DE PARQUE Y CANCHA RECREO-DEPORTIVA SEMILLAS DE FE EN EL MUNICIPIO DE SABANALARGA ATLÁNTICO.</t>
  </si>
  <si>
    <t>SABANALARGA</t>
  </si>
  <si>
    <t>PAF-ATMINDEPORTE-I-029-2022</t>
  </si>
  <si>
    <t>3-1-102452-COI-1364-12</t>
  </si>
  <si>
    <t>REVISIÓN DE ESTUDIOS Y DISEÑOS Y LA INTERVENTORÍA INTEGRAL (ADMINISTRATIVA, FINANCIERA, CONTABLE, AMBIENTAL, SOCIAL, JURÍDICA Y TÉCNICA) PARA LA CONSTRUCCIÓN DE ESCENARIO DEPORTIVO CANCHA SINTÉTICA EN PIE DE PATO CABECERA MUNICIPAL DEL MUNICIPIO DE ALTO BAUDÓ – DEPARTAMENTO DEL CHOCÓ.</t>
  </si>
  <si>
    <t>ALTO BAUDÓ</t>
  </si>
  <si>
    <t>CHOCÓ</t>
  </si>
  <si>
    <t>PAF-ATMINDEPORTE-I-020-2022</t>
  </si>
  <si>
    <t>REVISIÓN DE ESTUDIOS Y DISEÑOS Y LA INTERVENTORÍA INTEGRAL (ADMINISTRATIVA, FINANCIERA, CONTABLE, AMBIENTAL, SOCIAL, JURÍDICA Y TÉCNICA)  A LA CONSTRUCCIÓN COLISEO CUBIERTO EN EL MUNICIPIO DE LOS CÓRDOBAS, DEPARTAMENTO DE CÓRDOBA.</t>
  </si>
  <si>
    <t>LOS CORDOBAS</t>
  </si>
  <si>
    <t>CÓRDOBA</t>
  </si>
  <si>
    <t xml:space="preserve">*Se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CONSTANCIAS DE NO COMPARECENCIA (07/MAYO/2024) 
</t>
  </si>
  <si>
    <t>PAF-ATMINDEPORTE-I-030-2022</t>
  </si>
  <si>
    <t>Terminado sin ejecución por orden judicial (ley de garantías)</t>
  </si>
  <si>
    <t>3-1-102452-COI-1364-39</t>
  </si>
  <si>
    <t>REVISIÓN DE ESTUDIOS Y DISEÑOS Y LA INTERVENTORÍA INTEGRAL (ADMINISTRATIVA, FINANCIERA, CONTABLE, AMBIENTAL, SOCIAL, JURÍDICA Y TÉCNICA)  A LA CONSTRUCCIÓN DE PLACA POLIDEPORTIVA CUBIERTA EN LA COMUNIDAD DE TEATINO, MUNICIPIO DE SIPÍ, DEPARTAMENTO DEL CHOCÓ.</t>
  </si>
  <si>
    <t>SIPÍ</t>
  </si>
  <si>
    <t>PAF-ATMINDEPORTE-I-024-2022</t>
  </si>
  <si>
    <t>3-1-102452-COI-1364-24</t>
  </si>
  <si>
    <t>7m15d</t>
  </si>
  <si>
    <t>30d</t>
  </si>
  <si>
    <t>REVISIÓN DE ESTUDIOS Y DISEÑOS Y LA INTERVENTORÍA INTEGRAL (ADMINISTRATIVA, FINANCIERA, CONTABLE, AMBIENTAL, SOCIAL, JURÍDICA Y TÉCNICA) PARA LA CONSTRUCCIÓN CANCHA DE FÚTBOL EN GRAMA SINTÉTICA EN LA ZONA URBANA DEL MUNICIPIO DE SAN VICENTE FERRER.</t>
  </si>
  <si>
    <t>SAN VICENTE FERRER</t>
  </si>
  <si>
    <t>PAF-ATMINDEPORTE-I-027-2022</t>
  </si>
  <si>
    <t>3-1-102452-COI-1364-30</t>
  </si>
  <si>
    <t>REVISIÓN DE ESTUDIOS Y DISEÑOS Y LA INTERVENTORÍA INTEGRAL (ADMINISTRATIVA, FINANCIERA, CONTABLE, AMBIENTAL, SOCIAL, JURÍDICA Y TÉCNICA) A LA CONSTRUCCION DE CENTRO DE RECREACIÓN PARA LA ÓPTIMA REALIZACIÓN DEL DEPORTE EN EL MUNICIPIO DE VALENCIA, CÓRDOBA.</t>
  </si>
  <si>
    <t>VALENCIA</t>
  </si>
  <si>
    <t>ESTUDIOS PREVIOS APROBADOS EN COMITÉ TÉCNICO N° 4 DE FECHA 14/02/2022</t>
  </si>
  <si>
    <t>PAF-ATMINDEPORTE-I-018-2022</t>
  </si>
  <si>
    <t>3-1-102452-COI-1364-09</t>
  </si>
  <si>
    <t>7d+20d+20d+20d+29d</t>
  </si>
  <si>
    <t>REVISIÓN DE ESTUDIOS Y DISEÑOS Y LA INTERVENTORÍA INTEGRAL (ADMINISTRATIVA, FINANCIERA, CONTABLE, AMBIENTAL, SOCIAL, JURÍDICA Y TÉCNICA) A LA CONSTRUCCIÓN DE LA CANCHA DEL BARRIO SAN LUIS EN EL MUNICIPIO DE VILLANUEVA – DEPARTAMENTO DE LA GUAJIRA.</t>
  </si>
  <si>
    <t>VILLANUEVA</t>
  </si>
  <si>
    <t>GUAJIRA</t>
  </si>
  <si>
    <t>PAF-ATMINDEPORTE-I-016-2022</t>
  </si>
  <si>
    <t>3-1-102452-COI-1364-08</t>
  </si>
  <si>
    <t>15d+15d</t>
  </si>
  <si>
    <t>REVISIÓN DE ESTUDIOS Y DISEÑOS Y LA INTERVENTORÍA INTEGRAL (ADMINISTRATIVA, FINANCIERA, CONTABLE, AMBIENTAL, SOCIAL, JURÍDICA Y TÉCNICA) PARA EL MEJORAMIENTO DE LAS CONDICIONES DE FUNCIONAMIENTO, CAPACIDAD Y COBERTURA DEL ESCENARIO RECREATIVO Y DEPORTIVO MUNICIPAL JUAN PABLO SEGUNDO, MUNICIPIO DE NARIÑO, DEPARTAMENTO DE NARIÑO.</t>
  </si>
  <si>
    <t>PAF-ATMINDEPORTE-I-017-2022</t>
  </si>
  <si>
    <t>3-1-102452-COI-1364-07</t>
  </si>
  <si>
    <t>25d+5d+5d+4d+1m+1m+4m</t>
  </si>
  <si>
    <t>REVISIÓN DE ESTUDIOS Y DISEÑOS Y LA INTERVENTORÍA INTEGRAL (ADMINISTRATIVA, FINANCIERA, CONTABLE, AMBIENTAL, SOCIAL, JURÍDICA Y TÉCNICA) A LA CONSTRUCCIÓN DE POLIDEPORTIVO CUBIERTO EN LA VEREDA QUIROZ BAJO DEL MUNICIPIO DE LA UNIÓN, NARIÑO.</t>
  </si>
  <si>
    <t>LA UNIÓN</t>
  </si>
  <si>
    <t>PAF-ATMINDEPORTE-I-031-2022</t>
  </si>
  <si>
    <t>REVISIÓN DE ESTUDIOS Y DISEÑOS Y LA INTERVENTORÍA INTEGRAL (ADMINISTRATIVA, FINANCIERA, CONTABLE, AMBIENTAL, SOCIAL, JURÍDICA Y TÉCNICA)  A LA CONSTRUCCIÓN DE CANCHA DE FÚTBOL EN EL CASCO URBANO DEL MUNICIPIO DE FRANCISCO PIZARRO, DEPARTAMENTO DE NARIÑO-ETAPA I.</t>
  </si>
  <si>
    <t>FRANCISCO PIZARRO</t>
  </si>
  <si>
    <t>ESTUDIOS PREVIOS APROBADOS EN COMITÉ TÉCNICO N° 5 DE FECHA 16/02/2022</t>
  </si>
  <si>
    <t>PAF-ATMINDEPORTE-I-021-2022</t>
  </si>
  <si>
    <t>3-1-102452-COI-1364-06</t>
  </si>
  <si>
    <t>s15d+ps20d+ps30d+s1m+s1m+s1m</t>
  </si>
  <si>
    <t>REVISIÓN DE ESTUDIOS Y DISEÑOS Y LA INTERVENTORÍA INTEGRAL (ADMINISTRATIVA, FINANCIERA, CONTABLE, AMBIENTAL, SOCIAL, JURÍDICA Y TÉCNICA) A LA CONSTRUCCION Y ADECUACIÓN DE LA UNIDAD RECREODEPORTIVA DEL BARRIO HATILLO, EN EL MUNICIPIO DE HELICONIA.</t>
  </si>
  <si>
    <t>HELICONIA</t>
  </si>
  <si>
    <t>PAF-ATMINDEPORTE-I-019-2022</t>
  </si>
  <si>
    <t>3-1-102452-COI-1364-26</t>
  </si>
  <si>
    <t>18d+13d+15d+17d+1m</t>
  </si>
  <si>
    <t>REVISIÓN DE ESTUDIOS Y DISEÑOS Y LA INTERVENTORÍA INTEGRAL (ADMINISTRATIVA, FINANCIERA, CONTABLE, AMBIENTAL, SOCIAL, JURÍDICA Y TÉCNICA) A LA CONSTRUCCION DE UNA CANCHA DEPORTIVA DE FUTBOL EN EL CORREGIMIENTO EL CAUCHAL – MUNICIPIO DE SAN BENITO ABAD – SUCRE.</t>
  </si>
  <si>
    <t>SAN BENITO ABAD</t>
  </si>
  <si>
    <t>SUCRE</t>
  </si>
  <si>
    <t>PAF-ATMINDEPORTE-I-022-2022</t>
  </si>
  <si>
    <t>3-1-102452-COI-1364-11</t>
  </si>
  <si>
    <t>REVISIÓN DE ESTUDIOS Y DISEÑOS Y LA INTERVENTORÍA INTEGRAL (ADMINISTRATIVA, FINANCIERA, CONTABLE, AMBIENTAL, SOCIAL, JURÍDICA Y TÉCNICA) A LA CONSTRUCCIÓN DE PLACA POLIDEPORTIVA CUBIERTA EN EL CORREGIMIENTO LA LOMA EN EL MUNICIPIO DE BOJAYÁ - DEPARTAMENTO DEL CHOCÓ.</t>
  </si>
  <si>
    <t>BOJAYÁ</t>
  </si>
  <si>
    <t>ESTUDIOS PREVIOS APROBADOS EN COMITÉ TÉCNICO N° 9 DE FECHA 21/02/2022</t>
  </si>
  <si>
    <t>PAF-ATMINDEPORTE-I-040-2022</t>
  </si>
  <si>
    <t>REVISIÓN DE ESTUDIOS Y DISEÑOS Y LA INTERVENTORÍA INTEGRAL (ADMINISTRATIVA, FINANCIERA, CONTABLE, AMBIENTAL, SOCIAL, JURÍDICA Y TÉCNICA) A LA CONSTRUCCIÓN Y ADECUACIÓN DE LA UNIDAD RECREODEPORTIVA DEL MUNICIPIO DE CERETÉ, DEPARTAMENTO DE CÓRDOBA..</t>
  </si>
  <si>
    <t>CERETÉ</t>
  </si>
  <si>
    <t>PAF-ATMINDEPORTE-I-041-2022</t>
  </si>
  <si>
    <t>3-1-102452-COI-1364-28</t>
  </si>
  <si>
    <t>20d+15d+9d+2m+23d+24d</t>
  </si>
  <si>
    <t>REVISIÓN DE ESTUDIOS Y DISEÑOS Y LA INTERVENTORÍA INTEGRAL (ADMINISTRATIVA, FINANCIERA, CONTABLE, AMBIENTAL, SOCIAL, JURÍDICA Y TÉCNICA) A LA CONSTRUCCIÓN DE CANCHA SINTÉTICA RECREODEPORTIVA, PARQUE BIOSALUDABLE, ZONA DE PARQUE INFANTIL EN EL BARRIO EL CONCORD MUNICIPIO DE MALAMBO DEPARTAMENTO DE ATLÁNTICO..</t>
  </si>
  <si>
    <t>PAF-ATMINDEPORTE-I-036-2022</t>
  </si>
  <si>
    <t>3-1-102452-COI-1364-22</t>
  </si>
  <si>
    <t>15d+13d+25d+1m</t>
  </si>
  <si>
    <t>Este conrato tiene un proceso penal de incumplimiento, lo tiene el supervisor desde noviembre 28/22</t>
  </si>
  <si>
    <t>REVISIÓN DE ESTUDIOS Y DISEÑOS Y LA INTERVENTORÍA INTEGRAL (ADMINISTRATIVA, FINANCIERA, CONTABLE, AMBIENTAL, SOCIAL, JURÍDICA Y TÉCNICA) AL MEJORAMIENTO DEL ESTADIO JULIO CESAR SÁNCHEZ DEL CASCO URBANO DEL MUNICIPIO DE ANAPOIMA CUNDINAMARCA.</t>
  </si>
  <si>
    <t>ANAPOIMA</t>
  </si>
  <si>
    <t>PAF-ATMINDEPORTE-I-037-2022</t>
  </si>
  <si>
    <t>3-1-102452-COI-1364-15</t>
  </si>
  <si>
    <t>15d+15d+15d</t>
  </si>
  <si>
    <t>laperdomo; (inicial aitunjo)</t>
  </si>
  <si>
    <t>REVISIÓN DE ESTUDIOS Y DISEÑOS Y LA INTERVENTORÍA INTEGRAL (ADMINISTRATIVA, FINANCIERA, CONTABLE, AMBIENTAL, SOCIAL, JURÍDICA Y TÉCNICA) A LA CONSTRUCCIÓN DEL COMPLEJO DEPORTIVO BARRIO VILLA HERNÁNDEZ DE LA ZONA URBANA DEL MUNICIPIO DE CHIPAQUE CUNDINAMARCA EN DESARROLLO DEL CONVENIO INTERADMINISTRATIVO No. COID-1260-2021 SUSCRITO CON EL MINISTERIO DEL DEPORTE Y EL DEPARTAMENTO DE CUNDINAMARCA.</t>
  </si>
  <si>
    <t>CHIPAQUE</t>
  </si>
  <si>
    <t>PAF-ATMINDEPORTE-I-042-2022</t>
  </si>
  <si>
    <t>3-1-102452-COI-1364-13</t>
  </si>
  <si>
    <t>15d+10d+15d+2m+1m(pro)</t>
  </si>
  <si>
    <t>REVISIÓN DE ESTUDIOS Y DISEÑOS Y LA INTERVENTORÍA INTEGRAL (ADMINISTRATIVA, FINANCIERA, CONTABLE, AMBIENTAL, SOCIAL, JURÍDICA Y TÉCNICA) A LA CONSTRUCCIÓN DE PARQUE RECREODEPORTIVO SACÚDETE FRESNO DEL MUNICIPIO DE FRESNO TOLIMA.</t>
  </si>
  <si>
    <t>FRESNO</t>
  </si>
  <si>
    <t>TOLIMA</t>
  </si>
  <si>
    <t>PAF-ATMINDEPORTE-I-038-2022</t>
  </si>
  <si>
    <t>3-1-102452-COI-1364-31</t>
  </si>
  <si>
    <t>1m+15d+15d</t>
  </si>
  <si>
    <t>jezuluaga;</t>
  </si>
  <si>
    <t>REVISIÓN DE ESTUDIOS Y DISEÑOS Y LA INTERVENTORÍA INTEGRAL (ADMINISTRATIVA, FINANCIERA, CONTABLE, AMBIENTAL, SOCIAL, JURÍDICA Y TÉCNICA) A LA CONSTRUCCIÓN DE UNIDAD DEPORTIVA JUAN GUILLERMO CUADRADO, EN EL MUNICIPIO DE NECOCLÍ DEPARTAMENTO DE ANTIOQUIA.</t>
  </si>
  <si>
    <t>NECOCLÍ</t>
  </si>
  <si>
    <t>PAF-ATMINDEPORTE-I-039-2022</t>
  </si>
  <si>
    <t>3-1-102452-COI-1364-32</t>
  </si>
  <si>
    <t>10m1m</t>
  </si>
  <si>
    <t>1m+1m+1m</t>
  </si>
  <si>
    <t>REVISIÓN DE ESTUDIOS Y DISEÑOS Y LA INTERVENTORÍA INTEGRAL (ADMINISTRATIVA, FINANCIERA, CONTABLE, AMBIENTAL, SOCIAL, JURÍDICA Y TÉCNICA) A LA CONSTRUCCIÓN DE ESCENARIO DEPORTIVO PESCAO FRITO, MUNICIPIO DE SUCRE, SUCRE.</t>
  </si>
  <si>
    <t xml:space="preserve">*Se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CONSTANCIAS DE NO COMPARECENCIA (07/MAYO/2024)
</t>
  </si>
  <si>
    <t>PAF-ATMINDEPORTE-I-043-2022</t>
  </si>
  <si>
    <t>Terminado sin ejecución Financiera</t>
  </si>
  <si>
    <t>3-1-102452-COI-1364-21</t>
  </si>
  <si>
    <t>trámite comité 82</t>
  </si>
  <si>
    <t>REVISIÓN DE ESTUDIOS Y DISEÑOS Y LA INTERVENTORÍA INTEGRAL (ADMINISTRATIVA, FINANCIERA, CONTABLE, AMBIENTAL, SOCIAL, JURÍDICA Y TÉCNICA) AL MEJORAMIENTO DE LA PISTA DE PATINAJE EN EL SECTOR DE PUEBLO NUEVO DEL MUNICIPIO DE AMALFI.</t>
  </si>
  <si>
    <t>AMALFI</t>
  </si>
  <si>
    <t>ESTUDIOS PREVIOS FINALES APROBADOS EN COMITÉ TÉCNICO N° 10 DE FECHA 22/02/2022</t>
  </si>
  <si>
    <t>PAF-ATMINDEPORTE-I-045-2022</t>
  </si>
  <si>
    <t>3-1-102452-COI-1364-59</t>
  </si>
  <si>
    <t>30d+1m+15d+3m3d+2m12d+1m2d</t>
  </si>
  <si>
    <t>REVISIÓN DE ESTUDIOS Y DISEÑOS Y LA INTERVENTORÍA INTEGRAL (ADMINISTRATIVA, FINANCIERA, CONTABLE, AMBIENTAL, SOCIAL, JURÍDICA Y TÉCNICA) A LA REMODELACIÓN Y ADECUACIÓN DEL ESTADIO DE FUTBOL SAN MARTÍN EN LA CABECERA MUNICIPAL DE CÓRDOBA – DEPARTAMENTO DE BOLÍVAR.</t>
  </si>
  <si>
    <t>ESTUDIOS PREVIOS FINALES APROBADOS EN COMITÉ TÉCNICO N° 12 DE FECHA 24/02/2022</t>
  </si>
  <si>
    <t>PAF-ATMINDEPORTE-I-062-2022</t>
  </si>
  <si>
    <t>3-1-102452-COI-1364-37</t>
  </si>
  <si>
    <t>1m25d+1m</t>
  </si>
  <si>
    <t>REVISIÓN DE ESTUDIOS Y DISEÑOS Y LA INTERVENTORÍA INTEGRAL (ADMINISTRATIVA, FINANCIERA, CONTABLE, AMBIENTAL, SOCIAL, JURÍDICA Y TÉCNICA) PARA LA CONSTRUCCIÓN DE LA PRIMERA ETAPA DE UN POLIDEPORTIVO CUBIERTO, MUNICIPIO DE GUACAMAYAS, DEPARTAMENTO DE BOYACÁ.</t>
  </si>
  <si>
    <t>GUACAMAYAS</t>
  </si>
  <si>
    <t>BOYACÁ</t>
  </si>
  <si>
    <t>ESTUDIOS PREVIOS FINALES APROBADOS EN COMITÉ TÉCNICO N° 11 DE FECHA 23/02/2022</t>
  </si>
  <si>
    <t>PAF-ATMINDEPORTE-I-056-2022</t>
  </si>
  <si>
    <t>3-1-102452-COI-1364-34</t>
  </si>
  <si>
    <t>15d+1m+25d</t>
  </si>
  <si>
    <t>REVISIÓN DE ESTUDIOS Y DISEÑOS Y LA INTERVENTORÍA INTEGRAL (ADMINISTRATIVA, FINANCIERA, CONTABLE, AMBIENTAL, SOCIAL, JURÍDICA Y TÉCNICA) PARA LA ADECUA-CIÓN Y REMODELACIÓN DEL COMPLEJO POLIDEPORTIVO RAFAEL J. MEJÍA DEL MUNICIPIO DE TÁMESIS EN EL MARCO DEL CONVENIO NÚMERO COID-1223-2021.</t>
  </si>
  <si>
    <t>TÁMESIS</t>
  </si>
  <si>
    <t>PAF-ATMINDEPORTE-I-051-2022</t>
  </si>
  <si>
    <t>3-1-102452-COI-1364-71</t>
  </si>
  <si>
    <t>15d+1m+1m+15d+15d</t>
  </si>
  <si>
    <t>REVISIÓN DE ESTUDIOS Y DISEÑOS Y LA INTERVENTORÍA INTEGRAL (ADMINISTRATIVA, FINANCIERA, CONTABLE, AMBIENTAL, SOCIAL, JURÍDICA Y TÉCNICA) PARA LA CONSTRUCCIÓN DE ESCENARIOS DEPORTIVOS Y RECREATIVOS EN ZONA URBANA DEL MUNICIPIO DE SAN JOSÉ DEL GUAVIARE, DEPARTAMENTO DEL GUAVIARE.</t>
  </si>
  <si>
    <t>SAN JOSÉ DEL GUAVIARE</t>
  </si>
  <si>
    <t>GUAVIARE</t>
  </si>
  <si>
    <t>PAF-ATMINDEPORTE-I-054-2022</t>
  </si>
  <si>
    <t>3-1-102452-COI-1364-33</t>
  </si>
  <si>
    <t>11m1m</t>
  </si>
  <si>
    <t>laperdomo;</t>
  </si>
  <si>
    <t>REVISIÓN DE ESTUDIOS Y DISEÑOS Y LA INTERVENTORÍA INTEGRAL (ADMINISTRATIVA, FINANCIERA, CONTABLE, AMBIENTAL, SOCIAL, JURÍDICA Y TÉCNICA)  A LA CONSTRUCCIÓN DEL PROYECTO DENOMINADO CONSTRUCCIÓN DE ESTADIO DE SOFTBOL EN EL MUNICIPIO DE CLEMENCIA, DEPARTAMENTO DE BOLÍVAR.</t>
  </si>
  <si>
    <t>CLEMENCIA</t>
  </si>
  <si>
    <t>PAF-ATMINDEPORTE-I-050-2022</t>
  </si>
  <si>
    <t>3-1-102452-COI-1364-42</t>
  </si>
  <si>
    <t>REVISIÓN DE ESTUDIOS Y DISEÑOS Y LA INTERVENTORÍA INTEGRAL (ADMINISTRATIVA, FINANCIERA, CONTABLE, AMBIENTAL, SOCIAL, JURÍDICA Y TÉCNICA) A LA CONSTRUCCIÓN DE LA PISTA DE PATINAJE EN LA ZONA URBANA DEL MUNICIPIO DE ENTRERRÍOS.</t>
  </si>
  <si>
    <t>ENTRERRÍOS</t>
  </si>
  <si>
    <t>PAF-ATMINDEPORTE-I-053-2022</t>
  </si>
  <si>
    <t>3-1-102452-COI-1364-20</t>
  </si>
  <si>
    <t>15d+#d+30d</t>
  </si>
  <si>
    <t>REVISIÓN DE ESTUDIOS Y DISEÑOS Y LA INTERVENTORÍA INTEGRAL (ADMINISTRATIVA, FINANCIERA, CONTABLE, AMBIENTAL, SOCIAL, JURÍDICA Y TÉCNICA) A LA ADECUACIÓN Y MEJORAMIENTO DEL POLIDEPORTIVO FELIPE SALCEDO DE MORROA - SUCRE.</t>
  </si>
  <si>
    <t>MORROA</t>
  </si>
  <si>
    <t>PAF-ATMINDEPORTE-I-052-2022</t>
  </si>
  <si>
    <t>sin41</t>
  </si>
  <si>
    <t>REVISIÓN DE ESTUDIOS Y DISEÑOS Y LA INTERVENTORÍA INTEGRAL (ADMINISTRATIVA, FINANCIERA, CONTABLE, AMBIENTAL, SOCIAL, JURÍDICA Y TÉCNICA) A LA REMODELACIÓN Y ADECUACIÓN DEL PARQUE PARAÍSO EN EL MUNICIPIO DE ARIGUANÍ, MAGDALENA.</t>
  </si>
  <si>
    <t>ARIGUANÍ</t>
  </si>
  <si>
    <t>PAF-ATMINDEPORTE-I-055-2022</t>
  </si>
  <si>
    <t>3-1-102452-COI-1364-14</t>
  </si>
  <si>
    <t>15d+1m+20d</t>
  </si>
  <si>
    <t>REVISIÓN DE ESTUDIOS Y DISEÑOS Y LA INTERVENTORÍA INTEGRAL (ADMINISTRATIVA, FINANCIERA, CONTABLE, AMBIENTAL, SOCIAL, JURÍDICA Y TÉCNICA) PARA LA CONSTRUCCIÓN DE GRADAS ORIENTALES, SISTEMA DE ILUMINACIÓN Y OBRAS COMPLEMENTARIAS EN EL ESTADIO MUNICIPAL DE FUTBOL 12 DE OCTUBRE, en el municipio de Sampués.</t>
  </si>
  <si>
    <t>SAMPUÉS</t>
  </si>
  <si>
    <t>PAF-ATMINDEPORTE-I-057-2022</t>
  </si>
  <si>
    <t>3-1-102452-COI-1364-40</t>
  </si>
  <si>
    <t>1m+15d</t>
  </si>
  <si>
    <t>REVISIÓN DE ESTUDIOS Y DISEÑOS Y LA INTERVENTORÍA INTEGRAL (ADMINISTRATIVA, FINANCIERA, CONTABLE, AMBIENTAL, SOCIAL, JURÍDICA Y TÉCNICA) PARA EL MEJORAMIENTO ESTADIO MUNICIPAL MARISCAL SUCRE, FASE I, MUNICIPIO DE LA UNION, NARIÑO. LA UNIÓN.</t>
  </si>
  <si>
    <t>PAF-ATMINDEPORTE-I-058-2022</t>
  </si>
  <si>
    <t>3-1-102452-COI-1364-35</t>
  </si>
  <si>
    <t>1m</t>
  </si>
  <si>
    <t>REVISIÓN DE ESTUDIOS Y DISEÑOS Y LA INTERVENTORÍA INTEGRAL (ADMINISTRATIVA, FINANCIERA, CONTABLE, AMBIENTAL, SOCIAL, JURÍDICA Y TÉCNICA) PARA LA CONSTRUCCIÓN CANCHA SINTÉTICA EL RENACIMIENTO DE LA PAZ CON LEGALIDAD DEL MUNICIPIO DE VIOTÁ, CUNDINAMARCA.</t>
  </si>
  <si>
    <t>VIOTÁ</t>
  </si>
  <si>
    <t>PAF-ATMINDEPORTE-I-064-2022</t>
  </si>
  <si>
    <t>3-1-102452-COI-1364-61</t>
  </si>
  <si>
    <t>1m+1m</t>
  </si>
  <si>
    <t>REVISIÓN DE ESTUDIOS Y DISEÑOS Y LA INTERVENTORÍA INTEGRAL (ADMINISTRATIVA, FINANCIERA, CONTABLE, AMBIENTAL, SOCIAL, JURÍDICA Y TÉCNICA) PARA LA CONSTRUCCIÓN DE CANCHA EN GRAMA SINTETICA, GRADERÍAS Y AREAS COMPLEMENTARIAS EN EL MUNICIPIO DE PIENDAMO.</t>
  </si>
  <si>
    <t>PIENDAMÓ - TUNÍA</t>
  </si>
  <si>
    <t>CAUCA</t>
  </si>
  <si>
    <t>PAF-ATMINDEPORTE-I-063-2022</t>
  </si>
  <si>
    <t>3-1-102452-COI-1364-62</t>
  </si>
  <si>
    <t>20d+1m</t>
  </si>
  <si>
    <t>REVISIÓN DE ESTUDIOS Y DISEÑOS Y LA INTERVENTORÍA INTEGRAL (ADMINISTRATIVA, FINANCIERA, CONTABLE, AMBIENTAL, SOCIAL, JURÍDICA Y TÉCNICA) A LA CONSTRUCCIÓN DEL PARQUE RECREO-DEPORTIVO DEL SECTOR RINCON DE ALICANTE DEL MUNICIPIO DE LOS PATIOS, NORTE DE SANTANDER.</t>
  </si>
  <si>
    <t>LOS PATIOS</t>
  </si>
  <si>
    <t>NORTE DE SANTANDER</t>
  </si>
  <si>
    <t>PAF-ATMINDEPORTE-I-061-2022</t>
  </si>
  <si>
    <t>3-1-102452-COI-1364-49</t>
  </si>
  <si>
    <t>REVISIÓN DE ESTUDIOS Y DISEÑOS Y LA INTERVENTORÍA INTEGRAL (ADMINISTRATIVA, FINANCIERA, CONTABLE, AMBIENTAL, SOCIAL, JURÍDICA Y TÉCNICA) PARA LA ADECUACIÓN Y MEJORAS LOCATIVAS DE LA CANCHA DE FÚTBOL EXISTENTE EN LA UNIDAD DEPORTIVA DEL MUNICIPIO DE SAMANÁ.</t>
  </si>
  <si>
    <t>SAMANÁ</t>
  </si>
  <si>
    <t>CALDAS</t>
  </si>
  <si>
    <t>PAF-ATMINDEPORTE-I-060-2022</t>
  </si>
  <si>
    <t>3-1-102452-COI-1364-47</t>
  </si>
  <si>
    <t>REVISIÓN DE ESTUDIOS Y DISEÑOS Y LA INTERVENTORÍA INTEGRAL (ADMINISTRATIVA, FINANCIERA, CONTABLE, AMBIENTAL, SOCIAL, JURÍDICA Y TÉCNICA) PARA LA CONSTRUCCIÓN DEL PARQUE PRINCIPAL BARRIO EL BOSQUE DEL MUNICIPIO DE PAILITAS – CESAR.</t>
  </si>
  <si>
    <t>PAILITAS</t>
  </si>
  <si>
    <t>CESAR</t>
  </si>
  <si>
    <t>ESTUDIOS PREVIOS FINALES APROBADOS EN COMITÉ TÉCNICO N° 14 DE FECHA 28/02/2022</t>
  </si>
  <si>
    <t>PAF-ATMINDEPORTE-I-069-2022</t>
  </si>
  <si>
    <t>3-1-102452-COI-1364-36</t>
  </si>
  <si>
    <t>REVISIÓN DE ESTUDIOS Y DISEÑOS Y LA INTERVENTORÍA INTEGRAL (ADMINISTRATIVA, FINANCIERA, CONTABLE, AMBIENTAL, SOCIAL, JURÍDICA Y TÉCNICA) PARA LA CONSTRUCCIÓN DE LA CANCHA CUBIERTA EN EL CORREGIMIENTO DE BORAUDO – LLORÓ – DEPARTAMENTO DEL CHOCÓ.</t>
  </si>
  <si>
    <t>LLORÓ</t>
  </si>
  <si>
    <t>PAF-ATMINDEPORTE-I-068-2022</t>
  </si>
  <si>
    <t>3-1-102452-COI-1364-25</t>
  </si>
  <si>
    <t>REVISIÓN DE ESTUDIOS Y DISEÑOS Y LA INTERVENTORÍA INTEGRAL (ADMINISTRATIVA, FINANCIERA, CONTABLE, AMBIENTAL, SOCIAL, JURÍDICA Y TÉCNICA) PARA EL MEJORAMIENTO DE LA CANCHA DE FUTBOL JOSÉ MARÍA CÓRDOBA MUNICIPIO DE YARUMAL –ANTIOQUIA.</t>
  </si>
  <si>
    <t>YARUMAL</t>
  </si>
  <si>
    <t>PAF-ATMINDEPORTE-I-048-2022</t>
  </si>
  <si>
    <t>3-1-102452-COI-1364-51</t>
  </si>
  <si>
    <t>REVISIÓN DE ESTUDIOS Y DISEÑOS Y LA INTERVENTORÍA INTEGRAL (ADMINISTRATIVA, FINANCIERA, CONTABLE, AMBIENTAL, SOCIAL, JURÍDICA Y TÉCNICA) A LA CONSTRUCCION DE COMPLEJO DEPORTIVO NEPOMUCENO OSPINA EN LA CABECERA DEL MUNICIPIO DE SAN LUIS, TOLIMA.</t>
  </si>
  <si>
    <t>SAN LUIS</t>
  </si>
  <si>
    <t>PAF-ATMINDEPORTE-I-044-2022</t>
  </si>
  <si>
    <t>3-1-102452-COI-1364-19</t>
  </si>
  <si>
    <t>8m1m</t>
  </si>
  <si>
    <t>2m15d</t>
  </si>
  <si>
    <t>REVISIÓN DE ESTUDIOS Y DISEÑOS Y LA INTERVENTORÍA INTEGRAL (ADMINISTRATIVA, FINANCIERA, CONTABLE, AMBIENTAL, SOCIAL, JURÍDICA Y TÉCNICA) PARA LA CONSTRUCCIÓN PARQUE CATALINO VARELA MUNICIPIO PALMAR DE VARELA, DEPARTAMENTO DEL ATLÁNTICO.</t>
  </si>
  <si>
    <t>PALMAR DE VARELA</t>
  </si>
  <si>
    <t>PAF-ATMINDEPORTE-I-049-2022</t>
  </si>
  <si>
    <t>3-1-102452-COI-1364-44</t>
  </si>
  <si>
    <t>20d+1m+1m+1m+1m+1m+1m</t>
  </si>
  <si>
    <t>REVISIÓN DE ESTUDIOS Y DISEÑOS Y LA INTERVENTORÍA INTEGRAL (ADMINISTRATIVA, FINANCIERA, CONTABLE, AMBIENTAL, SOCIAL, JURÍDICA Y TÉCNICA) AL MEJORAMIENTO Y ADECUACIÓN DE LA UNIDAD DEPORTIVA BERNARDO MESA ABADIA DE APÍA, RISARALDA.</t>
  </si>
  <si>
    <t>APÍA</t>
  </si>
  <si>
    <t>PAF-ATMINDEPORTE-I-046-2022</t>
  </si>
  <si>
    <t>3-1-102452-COI-1364-46</t>
  </si>
  <si>
    <t>REVISIÓN DE ESTUDIOS Y DISEÑOS Y LA INTERVENTORÍA INTEGRAL (ADMINISTRATIVA, FINANCIERA, CONTABLE, AMBIENTAL, SOCIAL, JURÍDICA Y TÉCNICA) A LA CONSTRUCCIÓN DE CANCHA SINTÉTICA EN EL CORREGIMIENTO DE CÉSPEDES, SABANAS DE SAN ÁNGEL, MAGDALENA.</t>
  </si>
  <si>
    <t>SABANAS DE SAN ÁNGEL</t>
  </si>
  <si>
    <t xml:space="preserve">*Se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CONSTANCIAS DE NO COMPARECENCIA (07/MAYO/2024)
</t>
  </si>
  <si>
    <t>PAF-ATMINDEPORTE-I-047-2022</t>
  </si>
  <si>
    <t>3-1-102452-COI-1364-43</t>
  </si>
  <si>
    <t>REVISIÓN DE ESTUDIOS Y DISEÑOS Y LA INTERVENTORÍA INTEGRAL (ADMINISTRATIVA, FINANCIERA, CONTABLE, AMBIENTAL, SOCIAL, JURÍDICA Y TÉCNICA) A LA CONSTRUCCIÓN DE UN POLIDEPORTIVO Y ORNATO PÚBLICO EN EL CASCO URBANO DEL MUNICIPIO DE SÁCAMA, DEPARTAMENTO DE CASANARE.</t>
  </si>
  <si>
    <t>SÁCAMA</t>
  </si>
  <si>
    <t>CASANARE</t>
  </si>
  <si>
    <t>ESTUDIOS PREVIOS FINALES APROBADOS EN COMITÉ TÉCNICO N° 13 DE FECHA 25/02/2022</t>
  </si>
  <si>
    <t>PAF-ATMINDEPORTE-I-065-2022</t>
  </si>
  <si>
    <t>3-1-102452-COI-1364-55</t>
  </si>
  <si>
    <t>REVISIÓN DE ESTUDIOS Y DISEÑOS Y LA INTERVENTORÍA INTEGRAL (ADMINISTRATIVA, FINANCIERA, CONTABLE, AMBIENTAL, SOCIAL, JURÍDICA Y TÉCNICA) PARA LA CONSTRUCCIÓN DE PARQUE RECREATIVO EN EL CORREGIMIENTO DE BELÉN, JURISDICCIÓN DEL MUNICIPIO DE SAN MARCOS – SUCRE.</t>
  </si>
  <si>
    <t>SAN MARCOS</t>
  </si>
  <si>
    <t>PAF-ATMINDEPORTE-I-066-2022</t>
  </si>
  <si>
    <t>3-1-102452-COI-1364-53</t>
  </si>
  <si>
    <t>15d+15d+p1m</t>
  </si>
  <si>
    <t>REVISIÓN DE ESTUDIOS Y DISEÑOS Y LA INTERVENTORÍA INTEGRAL (ADMINISTRATIVA, FINANCIERA, CONTABLE, AMBIENTAL, SOCIAL, JURÍDICA Y TÉCNICA) A LA CONSTRUCCIÓN DE ESCENARIOS DEPORTIVOS EN LAS COMUNIDADES INDÍGENAS DE WASAY, PACUATIVA Y TAPURUCUARA EN EL MUNICIPIO DE MITÚ, DEPARTAMENTO DEL VAUPES.</t>
  </si>
  <si>
    <t>MITÚ</t>
  </si>
  <si>
    <t>VAUPÉS</t>
  </si>
  <si>
    <t>ESTUDIOS PREVIOS FINALES APROBADOS EN COMITÉ TÉCNICO N° 15 DE FECHA 1/03/2022</t>
  </si>
  <si>
    <t>PAF-ATMINDEPORTE-I-070-2022</t>
  </si>
  <si>
    <t>3-1-102452-COI-1364-50</t>
  </si>
  <si>
    <t>7m1m</t>
  </si>
  <si>
    <t>REVISIÓN DE ESTUDIOS Y DISEÑOS Y LA INTERVENTORÍA INTEGRAL (ADMINISTRATIVA, FINANCIERA, CONTABLE, AMBIENTAL, SOCIAL, JURÍDICA Y TÉCNICA) A LA CONSTRUCCIÓN DE PLACA POLIDEPORTIVA CUBIERTA EN LA COMUNIDAD INDÍGENA MONDÓ MONDOCITO, MUNICIPIO DE TADÓ.</t>
  </si>
  <si>
    <t>TADÓ</t>
  </si>
  <si>
    <t>ESTUDIOS PREVIOS FINALES APROBADOS EN COMITÉ TÉCNICO N° 16 DE FECHA 2/03/2022</t>
  </si>
  <si>
    <t>PAF-ATMINDEPORTE-I-072-2022</t>
  </si>
  <si>
    <t>REVISIÓN DE ESTUDIOS Y DISEÑOS Y LA INTERVENTORÍA INTEGRAL (ADMINISTRATIVA, FINANCIERA, CONTABLE, AMBIENTAL, SOCIAL, JURÍDICA Y TÉCNICA) PARA LA CONSTRUCCIÓN DE LA INFRAESTRUCTURA PARA LA ILUMINACIÓN DE LA CANCHA DE FÚTBOL JUAN TAFUR DEL MUNICIPIO DE CHIPAQUE CUNDINAMARCA.</t>
  </si>
  <si>
    <t>PAF-ATMINDEPORTE-I-071-2022</t>
  </si>
  <si>
    <t>3-1-102452-COI-1364-52</t>
  </si>
  <si>
    <t>7m15d(otrosi 1m)</t>
  </si>
  <si>
    <t>REVISIÓN DE ESTUDIOS Y DISEÑOS Y LA INTERVENTORÍA INTEGRAL (ADMINISTRATIVA, FINANCIERA, CONTABLE, AMBIENTAL, SOCIAL, JURÍDICA Y TÉCNICA) A LA CONSTRUCCIÓN Y ADECUACIÓN DE LA CANCHA SINTÉTICA DE FÚTBOL DEL LAGO LA PRADERA, MUNICIPIO DE DOSQUEBRADAS RISARALDA.</t>
  </si>
  <si>
    <t>DOSQUEBRADAS</t>
  </si>
  <si>
    <t>ESTUDIOS PREVIOS FINALES APROBADOS EN COMITÉ TÉCNICO N° 19 DE FECHA 4/03/2022</t>
  </si>
  <si>
    <t>PAF-ATMINDEPORTE-I-073-2022</t>
  </si>
  <si>
    <t>3-1-102452-COI-1364-38</t>
  </si>
  <si>
    <t>REVISIÓN DE ESTUDIOS Y DISEÑOS Y LA INTERVENTORÍA INTEGRAL (ADMINISTRATIVA, FINANCIERA, CONTABLE, AMBIENTAL, SOCIAL, JURÍDICA Y TÉCNICA) A LA CONSTRUCCIÓN DE UNA CANCHA SINTETICA EN EL CORREGIMIENTO DE FLORENCIA, ZONA RURAL DEL MUNICIPIO DE SAMANÁ.</t>
  </si>
  <si>
    <t>PAF-ATMINDEPORTE-I-074-2022</t>
  </si>
  <si>
    <t>REVISIÓN DE ESTUDIOS Y DISEÑOS Y LA INTERVENTORÍA INTEGRAL (ADMINISTRATIVA, FINANCIERA, CONTABLE, AMBIENTAL, SOCIAL, JURÍDICA Y TÉCNICA) A LA ADECUACIÓN PISTA DE ATLETISMO ESTADIO PEDRO GRAJALES EN EL DISTRITO ESPECIAL DE CALI.</t>
  </si>
  <si>
    <t xml:space="preserve">CALI </t>
  </si>
  <si>
    <t>VALLE DEL CAUCA</t>
  </si>
  <si>
    <t>ESTUDIOS PREVIOS FINALES APROBADOS EN COMITÉ TÉCNICO N° 22 DE FECHA 8/03/2022</t>
  </si>
  <si>
    <t>PAF-ATMINDEPORTE-I-075-2022</t>
  </si>
  <si>
    <t>3-1-102452-COI-1364-29</t>
  </si>
  <si>
    <t>12d+15d</t>
  </si>
  <si>
    <t>REVISIÓN DE ESTUDIOS Y DISEÑOS Y LA INTERVENTORÍA INTEGRAL (ADMINISTRATIVA, FINANCIERA, CONTABLE, AMBIENTAL, SOCIAL, JURÍDICA Y TÉCNICA) A LA CONSTRUCCIÓN DE UN POLIDEPORTIVO CUBIERTO EN EL RESGUARDO INDÍGENA PANURE DEL MUNICIPIO DE SAN JOSÉ DEL GUAVIARE, GUAVIARE.</t>
  </si>
  <si>
    <t>PAF-ATMINDEPORTE-I-076-2022</t>
  </si>
  <si>
    <t>3-1-102452-COI-1364-45</t>
  </si>
  <si>
    <t>20d</t>
  </si>
  <si>
    <t>REVISIÓN DE ESTUDIOS Y DISEÑOS Y LA INTERVENTORÍA INTEGRAL (ADMINISTRATIVA, FINANCIERA, CONTABLE, AMBIENTAL, SOCIAL, JURÍDICA Y TÉCNICA) A LA CONSTRUCCIÓN DE UNA CANCHA SINTETICA EN EL MUNICIPIO DE RISARALDA, CALDAS.</t>
  </si>
  <si>
    <t>ESTUDIOS PREVIOS FINALES APROBADOS EN COMITÉ TÉCNICO N° 23 DE FECHA 8/03/2022</t>
  </si>
  <si>
    <t>PAF-ATMINDEPORTE-I-079-2022</t>
  </si>
  <si>
    <t>cancelación</t>
  </si>
  <si>
    <t>REVISIÓN DE ESTUDIOS Y DISEÑOS Y LA INTERVENTORÍA INTEGRAL (ADMINISTRATIVA, FINANCIERA, CONTABLE, AMBIENTAL, SOCIAL, JURÍDICA Y TÉCNICA)A LA “CONSTRUCCIÓN DE UNA CANCHA DE FUTBOL EN EL CORREGIMIENTO DE GUAQUIRÍ DEL MUNICIPIO DE PEDRAZA, MAGDALENA.</t>
  </si>
  <si>
    <t>PEDRAZA</t>
  </si>
  <si>
    <t>PAF-ATMINDEPORTE-I-078-2022</t>
  </si>
  <si>
    <t>3-1-102452-COI-1364-41</t>
  </si>
  <si>
    <t>15d+1m+1m+s1m</t>
  </si>
  <si>
    <t>REVISIÓN DE ESTUDIOS Y DISEÑOS Y LA INTERVENTORÍA INTEGRAL (ADMINISTRATIVA, FINANCIERA, CONTABLE, AMBIENTAL, SOCIAL, JURÍDICA Y TÉCNICA) A LA ADECUACIÓN DEL COLISEO DEL PUEBLO DEL MUNICIPIO DE CUMARAL, META.</t>
  </si>
  <si>
    <t>CUMARAL</t>
  </si>
  <si>
    <t>META</t>
  </si>
  <si>
    <t>PAF-ATMINDEPORTE-I-077-2022</t>
  </si>
  <si>
    <t>3-1-102452-COI-1364-48</t>
  </si>
  <si>
    <t>5m15d</t>
  </si>
  <si>
    <t>26d+8d</t>
  </si>
  <si>
    <t>REVISIÓN DE ESTUDIOS Y DISEÑOS Y LA INTERVENTORÍA INTEGRAL (ADMINISTRATIVA, FINANCIERA, CONTABLE, AMBIENTAL, SOCIAL, JURÍDICA Y TÉCNICA) PARA EL MEJORAMIENTO UNIDAD DEPORTIVA IVAN DUQUE ESCOBAR DEL MUNICIPIO DE GÓMEZ PLATA</t>
  </si>
  <si>
    <t>GÓMEZ PLATA</t>
  </si>
  <si>
    <t>ESTUDIOS PREVIOS FINALES APROBADOS EN COMITÉ TÉCNICO N° 36 DE FECHA 22/03/2022</t>
  </si>
  <si>
    <t>PAF-ATMINDEPORTE-I-082-2022</t>
  </si>
  <si>
    <t>3-1-102452-COI-1364-54</t>
  </si>
  <si>
    <t>s1m+p1m+p20d</t>
  </si>
  <si>
    <t>REVISIÓN DE ESTUDIOS Y DISEÑOS Y LA INTERVENTORÍA INTEGRAL (ADMINISTRATIVA, FINANCIERA, CONTABLE, AMBIENTAL, SOCIAL, JURÍDICA Y TÉCNICA) PARA LOS PROYECTOS QUE TIENEN POR OBJETO: LA CONSTRUCCION DE INFRAESTRUCTURA III PARA EL MUNICIPIO DE GUTIERREZ Lote 1: CONSTRUCCIÓN DEL POLIDEPORTIVO CUBIERTO DE LA ESCUELA POLICARPA SALAVARRIETA DEL MUNICIPIO DE GUTIERREZ CUNDINAMARCA SEGÚN CONVENIO COID-1264-2021 Y LA CONSTRUCCIÓN Y DOTACIÓN DEL PARQUE RECREODEPORTIVO EN EL BARRIO EBENEZER DEL MUNICIPIO DE FUSAGASUGÁ, CUNDINAMARCA.</t>
  </si>
  <si>
    <t>FUSAGASUGÁ</t>
  </si>
  <si>
    <t>ESTUDIOS PREVIOS FINALES APROBADOS EN COMITÉ TÉCNICO N° 38 DE FECHA 23/03/2022</t>
  </si>
  <si>
    <t>*Se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*En el estudio se incluyeron dos proyectos por $258.395.000: LA CONSTRUCCION DE INFRAESTRUCTURA III PARA EL MUNICIPIO DE GUTIERREZ Lote 1: CONSTRUCCIÓN DEL POLIDEPORTIVO CUBIERTO DE LA ESCUELA POLICARPA SALAVARRIETA DEL MUNICIPIO DE GUTIERREZ CUNDINAMARCA SEGÚN CONVENIO COID-1264-2021por $171.928.620 Y LA CONSTRUCCIÓN Y DOTACIÓN DEL PARQUE RECREODEPORTIVO EN EL BARRIO EBENEZER DEL MUNICIPIO DE FUSAGASUGÁ, CUNDINAMARCA por $86.466.380</t>
  </si>
  <si>
    <t>anulado</t>
  </si>
  <si>
    <t>Anulado</t>
  </si>
  <si>
    <t>REVISIÓN DE ESTUDIOS Y DISEÑOS Y LA INTERVENTORÍA INTEGRAL (ADMINISTRATIVA, FINANCIERA, CONTABLE, AMBIENTAL, SOCIAL, JURÍDICA Y TÉCNICA) A LA CONSTRUCCIÓN DE CANCHA SINTETICA DE FUTBOL, Y MULTIPLE EN LA INSTITUCIÓN EDUCATIVA TECNICA FRANCISCO DE PAULA SANTANDER EN EL MUNICIPIO DE GALAPA-DEPARTAMENTO DE ATLANTICO</t>
  </si>
  <si>
    <t>GALAPA</t>
  </si>
  <si>
    <t>ESTUDIOS PREVIOS FINALES APROBADOS EN COMITÉ TÉCNICO N° 38 DE FECHA 24/03/2022</t>
  </si>
  <si>
    <t>PAF-ATMINDEPORTE-I-086-2022</t>
  </si>
  <si>
    <t>3-1-102452-COI-1364-57</t>
  </si>
  <si>
    <t>REVISIÓN DE ESTUDIOS Y DISEÑOS Y LA INTERVENTORÍA INTEGRAL (ADMINISTRATIVA, FINANCIERA, CONTABLE, AMBIENTAL, SOCIAL, JURÍDICA Y TÉCNICA) A LA CONSTRUCCIÓN DE ESCENARIO DEPORTIVO EN LA ZONA URBANA DEL MUNICIPIO DE SAN DIEGO, CESAR</t>
  </si>
  <si>
    <t>SAN DIEGO</t>
  </si>
  <si>
    <t>ESTUDIOS PREVIOS FINALES APROBADOS EN COMITÉ TÉCNICO N° 39 DE FECHA 24/03/2022</t>
  </si>
  <si>
    <t>PAF-ATMINDEPORTE-I-087-2022</t>
  </si>
  <si>
    <t>sin43</t>
  </si>
  <si>
    <t>REVISIÓN DE ESTUDIOS Y DISEÑOS Y LA INTERVENTORÍA INTEGRAL (ADMINISTRATIVA, FINANCIERA, CONTABLE, AMBIENTAL, SOCIAL, JURÍDICA Y TÉCNICA) PARA LA ADECUACIÓN DEL COMPLEJO DEPORTIVO SECTOR LA ITALIA FASE 1 EN EL MUNICIPIO DE SANTA ROSA DE CABAL, RISARALDA</t>
  </si>
  <si>
    <t>SANTA ROSA DE CABAL</t>
  </si>
  <si>
    <t>ESTUDIOS PREVIOS FINALES APROBADOS EN COMITÉ TÉCNICO N° 46 DE FECHA 29/03/2022</t>
  </si>
  <si>
    <t>PAF-ATMINDEPORTE-I-092-2022</t>
  </si>
  <si>
    <t>3-1-102452-COI-1364-67</t>
  </si>
  <si>
    <t>REVISIÓN DE ESTUDIOS Y DISEÑOS Y LA INTERVENTORÍA INTEGRAL (ADMINISTRATIVA, FINANCIERA, CONTABLE, AMBIENTAL, SOCIAL, JURÍDICA Y TÉCNICA) PARA LA CONSTRUCCIÓN DE PATINODROMO EL CONDE DE CUCHICUTE EN EL MUNICIPIO DE SAN GIL.</t>
  </si>
  <si>
    <t>SAN GIL</t>
  </si>
  <si>
    <t>PAF-ATMINDEPORTE-I-093-2022</t>
  </si>
  <si>
    <t>3-1-102452-COI-1364-64</t>
  </si>
  <si>
    <t>15d+2m+15d</t>
  </si>
  <si>
    <t>REVISIÓN DE ESTUDIOS Y DISEÑOS Y LA INTERVENTORÍA INTEGRAL (ADMINISTRATIVA, FINANCIERA, CONTABLE, AMBIENTAL, SOCIAL, JURÍDICA Y TÉCNICA) PARA LA “CONSTRUCCIÓN DEL NUEVO ESTADIO DE FUTBOL PEDRO VILLALOBOS EN EL MUNICIPIO DE MONTELIBANO, CÓRDOBA</t>
  </si>
  <si>
    <t>MONTELÍBANO</t>
  </si>
  <si>
    <t>*Se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t>
  </si>
  <si>
    <t>PAF-ATMINDEPORTE-I-094-2022</t>
  </si>
  <si>
    <t>3-1-102452-COI-1364-60</t>
  </si>
  <si>
    <t>REVISION DE ESTUDIOS Y DISEÑOS, Y MEJORAMIENTO DE ESCENARIO DEPORTIVO EL PARAMO EN EL MUNICIPIO DE SANTIAGO, NORTE DE SANTANDER</t>
  </si>
  <si>
    <t>Obra</t>
  </si>
  <si>
    <t>SANTIAGO</t>
  </si>
  <si>
    <t>ESTUDIOS PREVIOS FINALES APROBADOS EN COMITÉ TÉCNICO N° 53 DE FECHA 11/04/2023</t>
  </si>
  <si>
    <t>PAF-ATMINDEPORTE-O-024-2022</t>
  </si>
  <si>
    <t>REVISION DE ESTUDIOS Y DISEÑOS, Y CONSTRUCCIÓN DE CANCHAS DE SQUASH EN EL BARRIO CIUDADELA REAL DE MINAS DEL MUNICIPIO DE BUCARAMANGA, SANTANDER"</t>
  </si>
  <si>
    <t>BUCARAMANGA</t>
  </si>
  <si>
    <t>ESTUDIOS PREVIOS FINALES APROBADOS EN COMITÉ TÉCNICO N° 53 DE FECHA 11/04/2024</t>
  </si>
  <si>
    <t>PAF-ATMINDEPORTE-O-027-2022</t>
  </si>
  <si>
    <t>ELABORACIÓN DE LOS ESTUDIOS Y DISEÑOS, Y LA ADECUACIÓN Y REMODELACIÓN DE LAS INSTALACIONES DEL CENTRO DE CIENCIAS DEL DEPORTE-CCD EN EL CENTRO DE ALTO RENDIMIENTO EN BOGOTÁ D.C</t>
  </si>
  <si>
    <t>BOGOTÁ, D.C</t>
  </si>
  <si>
    <t>ESTUDIOS PREVIOS FINALES APROBADOS EN COMITÉ TÉCNICO N° 54 DE FECHA 13/04/2022</t>
  </si>
  <si>
    <t>PAF-ATMINDEPORTE-O-028-2022</t>
  </si>
  <si>
    <t>3-1-102452-COI-1364-63</t>
  </si>
  <si>
    <t>5m1m</t>
  </si>
  <si>
    <t>2d</t>
  </si>
  <si>
    <t>ESTUDIO PREVIO PARA CONTRATAR LA REVISIÓN DE ESTUDIOS Y DISEÑOS Y LA INTERVENTORÍA INTEGRAL (ADMINISTRATIVA, FINANCIERA, CONTABLE, AMBIENTAL, SOCIAL, JURÍDICA Y TÉCNICA) PARA LOS PROYECTOS QUE TIENEN POR OBJETO: CONSTRUCCIÓN DE ESCENARIO DEPORTIVO CANCHA SINTÉTICA EN PIE DE PATO CABECERA MUNICIPAL DEL MUNICIPIO DE ALTO BAUDÓ – DEPARTAMENTO DEL CHOCÓ; CONSTRUCCIÓN DE PLACA POLIDEPORTIVA CUBIERTA EN LA COMUNIDAD INDÍGENA MONDÓ MONDOCITO, MUNICIPIO DE TADÓ; Y CONSTRUCCIÓN DE PLACA POLIDEPORTIVA CUBIERTA EN EL CORREGIMIENTO LA LOMA EN EL MUNICIPIO DE BOJAYÁ - DEPARTAMENTO DEL CHOCÓ.</t>
  </si>
  <si>
    <t>ALTO BAUDÓ-TADÓ-BOJAYÁ</t>
  </si>
  <si>
    <t>ESTUDIOS PREVIOS FINALES APROBADOS EN COMITÉ TÉCNICO N° 37 DE FECHA 23/03/2022</t>
  </si>
  <si>
    <t>*Se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*En el estudio previo se incluyeron  3 proyectos por $630.497.810,  CONSTRUCCIÓN DE ESCENARIO DEPORTIVO CANCHA SINTÉTICA EN PIE DE PATO CABECERA MUNICIPAL DEL MUNICIPIO DE ALTO BAUDÓ-CHOCÓ por $347.701.190; CONSTRUCCIÓN DE PLACA POLIDEPORTIVA CUBIERTA EN LA COMUNIDAD INDÍGENA MONDÓ MONDOCITO, MUNICIPIO DE TADÓ-CHOCÓ por $136.814.730; Y CONSTRUCCIÓN DE PLACA POLIDEPORTIVA CUBIERTA EN EL CORREGIMIENTO LA LOMA EN EL MUNICIPIO DE BOJAYÁ-CHOCÓ por $145.981.890.</t>
  </si>
  <si>
    <t>PAF-ATMINDEPORTE-I-084-2022</t>
  </si>
  <si>
    <t>sin38</t>
  </si>
  <si>
    <t>GUTIERREZ- FUSAGASUGÁ</t>
  </si>
  <si>
    <t>PAF-ATMINDEPORTE-I-085-2022</t>
  </si>
  <si>
    <t>3-1-102452-COI-1364-56</t>
  </si>
  <si>
    <t>6/03/2023 fusa y 9/6/23gut</t>
  </si>
  <si>
    <t>1m+#d+#d+1m</t>
  </si>
  <si>
    <t>REVISIÓN DE ESTUDIOS Y DISEÑOS Y LA INTERVENTORÍA INTEGRAL (ADMINISTRATIVA, FINANCIERA, CONTABLE, AMBIENTAL, SOCIAL, JURÍDICA Y TÉCNICA) A LA CONSTRUCCIÓN DEL ESCENARIO DEPORTIVO DEL PARQUE DE LA SALUD DE MARSELLA, RISARALDA</t>
  </si>
  <si>
    <t>MARSELLA</t>
  </si>
  <si>
    <t>ESTUDIOS PREVIOS FINALES APROBADOS EN COMITÉ TÉCNICO N° 49 DE FECHA 04/04/2022</t>
  </si>
  <si>
    <t>PAF-ATMINDEPORTE-I-097-2022</t>
  </si>
  <si>
    <t>3-1-102452-COI-1364-68</t>
  </si>
  <si>
    <t>REVISIÓN DE ESTUDIOS Y DISEÑOS Y LA INTERVENTORÍA INTEGRAL (ADMINISTRATIVA, FINANCIERA, CONTABLE, AMBIENTAL, SOCIAL, JURÍDICA Y TÉCNICA) AL MEJORAMIENTO Y ADECUACIÓN DEL PARQUE LINEAL SOPINGA FASE 1 EN EL MUNICIPIO DE LA VIRGINIA, RISARALDA</t>
  </si>
  <si>
    <t>VIRGINIA</t>
  </si>
  <si>
    <t>ESTUDIOS PREVIOS FINALES APROBADOS EN COMITÉ TÉCNICO N° 67 DE FECHA 28/04/2022</t>
  </si>
  <si>
    <t>PAF-ATMINDEPORTE-I-098-2022</t>
  </si>
  <si>
    <t>3-1-102452-COI-1364-65</t>
  </si>
  <si>
    <t>REVISIÓN DE ESTUDIOS Y DISEÑOS Y CONSTRUCCION POLIDEPORTIVO  BARRIO CALAMO CALLE 9 #13 - 42 PRIMERA ETAPA MUNICIPIO DE PITALITO- HUILA</t>
  </si>
  <si>
    <t>PITALITO</t>
  </si>
  <si>
    <t>HUILA</t>
  </si>
  <si>
    <t>ESTUDIOS PREVIOS FINALES APROBADOS EN COMITÉ TÉCNICO N° 64 DE FECHA 28/04/2022</t>
  </si>
  <si>
    <t>PAF-ATMINDEPORTE-O-037-2022</t>
  </si>
  <si>
    <t>REVISION DE ESTUDIOS Y DISEÑOS, ADECUACIÓN Y CONSTRUCCIÓN DE CANCHA SINTÉTICA EN EL ESTADIO LA ARENOSA DEL MUNICIPIO DE NEIRA, CALDAS</t>
  </si>
  <si>
    <t>NEIRA</t>
  </si>
  <si>
    <t>ESTUDIOS PREVIOS FINALES APROBADOS EN COMITÉ TÉCNICO N° 68 DE FECHA 3/05/2022</t>
  </si>
  <si>
    <t>PAF-ATMINDEPORTE-O-040-2022</t>
  </si>
  <si>
    <t>INTERVENTORÍA INTEGRAL (ADMINISTRATIVA, FINANCIERA, CONTABLE, AMBIENTAL, SOCIAL, JURÍDICA Y TÉCNICA) A LA ELABORACIÓN DE LOS ESTUDIOS Y DISEÑOS, Y LA ADECUACIÓN Y REMODELACIÓN DE LAS INSTALACIONES DEL CENTRO DE CIENCIAS DEL DEPORTECCD EN EL CENTRO DE ALTO RENDIMIENTO EN BOGOTÁ D.C</t>
  </si>
  <si>
    <t>BOGOTÁ, C.D</t>
  </si>
  <si>
    <t>PAF-ATMINDEPORTE-I-116-2022</t>
  </si>
  <si>
    <t>3-1-102452-COI-1364-66</t>
  </si>
  <si>
    <t>REVISION DE ESTUDIOS Y DISEÑOS Y CONSTRUCCIÓN COMPLEJO DEPORTIVO Y RECREATIVO CUMBITARA - DEPARTAMENTO DE NARIÑO- MUNICIPIO DE CUMBITARA</t>
  </si>
  <si>
    <t>CUMBITARA</t>
  </si>
  <si>
    <t>ESTUDIOS PREVIOS FINALES APROBADOS EN COMITÉ TÉCNICO N° 71 DE FECHA 5/05/2022</t>
  </si>
  <si>
    <t>1m15d</t>
  </si>
  <si>
    <t>INTERVENTORÍA INTEGRAL (ADMINISTRATIVA, FINANCIERA, CONTABLE, AMBIENTAL, SOCIAL, JURÍDICA Y TÉCNICA) A LA REVISIÓN DE ESTUDIOS Y DISEÑOS, Y CONSTRUCCION DE CANCHAS DE SQUASH EN EL BARRIO CIUDADELA REAL DE MINAS DEL MUNICIPIO DE BUCARAMANGA, SANTANDER</t>
  </si>
  <si>
    <t>ESTUDIOS PREVIOS FINALES APROBADOS EN COMITÉ TÉCNICO N° 66 DE FECHA 02/05/2022</t>
  </si>
  <si>
    <t>PAF-ATMINDEPORTE-I-099-2022</t>
  </si>
  <si>
    <t>Privada</t>
  </si>
  <si>
    <t>3-1-102452-COI-1364-69</t>
  </si>
  <si>
    <t>15d+13d+1m+1m</t>
  </si>
  <si>
    <t>REVISIÓN DE ESTUDIOS Y DISEÑOS Y LA INTERVENTORÍA INTEGRAL (ADMINISTRATIVA, FINANCIERA, CONTABLE, AMBIENTAL, SOCIAL, JURÍDICA Y TÉCNICA) PARA LA CONSTRUCCIÓN DE ESCENARIO DEPORTIVO CANCHA SINTÉTICA EN PIE DE PATO CABECERA MUNICIPAL DEL MUNICIPIO DE ALTO BAUDÓ – DEPARTAMENTO DEL CHOCÓ</t>
  </si>
  <si>
    <t>ESTUDIOS PREVIOS FINALES APROBADOS EN COMITÉ TÉCNICO N° 85 DE FECHA 16/06/2022</t>
  </si>
  <si>
    <t>PAF-ATMINDEPORTE-I-132-2022</t>
  </si>
  <si>
    <t>3-1-102452-COI-1364-70</t>
  </si>
  <si>
    <t>p1m15d</t>
  </si>
  <si>
    <t>REVISIÓN A ESTUDIOS Y DISEÑOS Y LA INTERVENTORÍA INTEGRAL (ADMINISTRATIVA, FINANCIERA, CONTABLE, AMBIENTAL, SOCIAL, JURÍDICA Y TÉCNICA) A LA CONSTRUCCIÓN DE UNA CANCHA SINTETICA EN EL CORREGIMIENTO DE FLORENCIA, ZONA RURAL DEL MUNICIPIO DE SAMANÁ.</t>
  </si>
  <si>
    <t>PAF-ATMINDEPORTE-I-131-2022</t>
  </si>
  <si>
    <t>3-1-102452-COI-1364-72</t>
  </si>
  <si>
    <t>1m+1m+1m+1m+1m+1m15+1m</t>
  </si>
  <si>
    <t>REVISIÓN DE ESTUDIOS Y DISEÑOS Y LA INTERVENTORÍA INTEGRAL (ADMINISTRATIVA, FINANCIERA, CONTABLE, AMBIENTAL, SOCIAL, JURÍDICA Y TÉCNICA) A LA CONSTRUCCIÓN DE PLACA POLIDEPORTIVA CUBIERTA EN EL CENTRO POBLADO DE ALTAMIRA, JURISDICCIÓN DEL MUNICIPIO DE PUERTO LÓPEZ</t>
  </si>
  <si>
    <t>PUERTO LOPEZ</t>
  </si>
  <si>
    <t>ESTUDIOS PREVIOS FINALES APROBADOS EN COMITÉ TÉCNICO N° 101 DE FECHA 29/07/2022</t>
  </si>
  <si>
    <t>PAF-ATMINDEPORTE-I-152-2022</t>
  </si>
  <si>
    <t>3-1-102452-COI-1364-73</t>
  </si>
  <si>
    <t>20d+1m+1m+1m</t>
  </si>
  <si>
    <t>shchagui;</t>
  </si>
  <si>
    <t>ADICIÓN Y PRÓRROGA ETAPA I y ADICIÓN ETAPA 2 DEL CONTRATO DE OBRA 3-1-102452-COI-1364-63 CUYO OBJETO ES "LA ELABORACIÓN DE LOS ESTUDIOS Y DISEÑOS, Y LA ADECUACIÓN Y REMODELACIÓN DE LAS INSTALACIONES DEL CENTRO DE CIENCIAS DEL DEPORTE-CCD EN EL CENTRO DE ALTO RENDIMIENTO EN BOGOTÁ D.C. "</t>
  </si>
  <si>
    <t>SOLICITUD ADICIÓN Y PRÓRROGA ETAPA 1 Y ADICION ETAPA 2 PARA EL CONTRATO DE OBRA No. 3-1-102452-COI-1364-63 (PAF-ATMINDEPORTE-O-028-2022) APROBADOS EN COMITÉ TÉCNICO N° 103 DE FECHA 04/08/2022</t>
  </si>
  <si>
    <t>ADICIÓN Y PRÓRROGA ETAPA I DEL CONTRATO 3-1-102452-COI-1364-66 CUYO OBJETO ES  "LA INTERVENTORÍA  INTEGRAL (ADMINISTRATIVA, FINANCIERA, CONTABLE, AMBIENTAL, SOCIAL, JURÍDICA Y TÉCNICA) A LA ELABORACIÓN DE LOS ESTUDIOS Y DISEÑOS, Y LA ADECUACIÓN Y REMODELACIÓN DE LAS INSTALACIONES DEL CENTRO DE CIENCIAS DEL DEPORTE CCD EN EL CENTRO DE ALTO RENDIMIENTO EN BOGOTÁ D.C.”</t>
  </si>
  <si>
    <t>SOLICITUD ADICIÓN Y PRÓRROGA ETAPA I PARA EL CONTRATO DE INTERVENTORÍA No. 3-1-102452-COI-1364-66 (PAF-ATMINDEPORTE-I-116-2022) APROBADOS EN COMITÉ TÉCNICO N° 103 DE FECHA 04/08/2022</t>
  </si>
  <si>
    <t>ADICIÓN PARA EL CONTRATO DE INTERVENTORÍA No. 3-1-102452-COI-1364-29 (PAF-ATMINDEPORTE-I-075-2022) APROBADOS EN COMITÉ TÉCNICO N° 106 DE FECHA 12/08/2022 REVISIÓN DE ESTUDIOS Y DISEÑOS Y LA “INTERVENTORÍA INTEGRAL (ADMINISTRATIVA, FINANCIERA, CONTABLE, AMBIENTAL, SOCIAL, JURÍDICA Y TÉCNICA) A LA ADECUACIÓN PISTA DE ATLETISMO ESTADIO PEDRO GRAJALES EN EL DISTRITO ESPECIAL DE CALI.</t>
  </si>
  <si>
    <t xml:space="preserve">$ -   </t>
  </si>
  <si>
    <t>CALI</t>
  </si>
  <si>
    <t>ADICIÓN PARA EL CONTRATO DE INTERVENTORÍA No. 3-1-102452-COI-1364-29 (PAF-ATMINDEPORTE-I-075-2022) APROBADOS EN COMITÉ TÉCNICO N° 106 DE FECHA 12/08/2022</t>
  </si>
  <si>
    <t>1m25d</t>
  </si>
  <si>
    <t>ADICIÓN Y PRORROGA DE 1 MES 9 DÍASPARA EL CONTRATO DE REVISIÓN DE ESTUDIOS Y DISEÑOS Y LA “INTERVENTORÍA INTEGRAL (ADMINISTRATIVA, FINANCIERA, CONTABLE, AMBIENTAL, SOCIAL, JURÍDICA Y TÉCNICA) A LA ADECUACIÓN DEL COLISEO DEL PUEBLO DEL MUNICIPIO DE CUMARAL, META</t>
  </si>
  <si>
    <t xml:space="preserve">CUMARAL </t>
  </si>
  <si>
    <t>SOLICITUD ADICIÓN Y PRÓRROGA DE 1 MES 9 DÍAS AL CONTRATO DE INTERVENTORÍA No 3-1-102452-COI-1364-48 (PAF-ATMINDEPORTE-I-077-2022) APROBADOS EN COMITÉ TÉCNICO N° 121 DE FECHA 21/10/2022</t>
  </si>
  <si>
    <t>1m9d</t>
  </si>
  <si>
    <t>PRÓRROGA POR UN TÉRMINO DE VEINTE (20) DÍAS CALENDARIO Y ADICIÓN DE RECURSOS POR UN VALOR DE SIETE MILLONES QUINIENTOS DIEZ MIL CUATROCIENTOS CUARENTA Y SEIS PESOS MCTE ($7.510.446,00) AL CONTRATO NO 3-1-102452-COI-1364-45 (PAF-ATMINDEPORTE-I-076-2022) QUE TIENE POR OBJETO CONTRACTUAL LA REVISIÓN A ESTUDIOS Y DISEÑOS Y LA INTERVENTORÍA INTEGRAL (ADMINISTRATIVA, FINANCIERA, CONTABLE, AMBIENTAL, SOCIAL, JURÍDICA Y TÉCNICA) A LA “CONSTRUCCIÓN DE UN POLIDEPORTIVO CUBIERTO EN EL RESGUARDO INDÍGENA PANURE DEL MUNICIPIO DE SAN JOSÉ DEL GUAVIARE, GUAVIARE”.</t>
  </si>
  <si>
    <t>SOLICITUD DE PRÓRROGA POR UN TÉRMINO DE VEINTE (20) DÍAS CALENDARIO Y ADICIÓN DE RECURSOS POR UN VALOR DE SIETE MILLONES QUINIENTOS DIEZ MIL CUATROCIENTOS CUARENTA Y SEIS PESOS MCTE ($7.510.446,00) AL CONTRATO NO 3-1-102452-COI-1364-45 (PAF-ATMINDEPORTE-I-076-2022); APROBADA EN COMITÉ TÉCNICO NO. 124 DEL 04/11/2022.</t>
  </si>
  <si>
    <t>PRÓRROGA No. 1 POR EL TÉRMINO DE UN MES (01) Y QUINCE (15) DÍAS CALENDARIO Y LA ADICIÓN No 1 ($ 23.321.115,00) M/CTE AL CONTRATO DE LA REVISIÓN DE ESTUDIOS Y DISEÑOS Y LA INTERVENTORÍA INTEGRAL (ADMINISTRATIVA, FINANCIERA, CONTABLE, AMBIENTAL, SOCIAL, JURÍDICA Y TÉCNICA) A LA CONSTRUCCIÓN DE PARQUE Y CANCHA RECREO-DEPORTIVA SEMILLAS DE FE EN EL MUNICIPIO DE SABANALARGA ATLÁNTICO</t>
  </si>
  <si>
    <t>SOLICITUD ADICIÓN Y PRÓRROGA DE 1 MES 15 DÍAS AL CONTRATO DE INTERVENTORÍA No 3-1-102452-COI-1364-12 (PAF-ATMINDEPORTE-I-029-2022) APROBADOS EN COMITÉ TÉCNICO N° 127 DE FECHA 18/11/2022</t>
  </si>
  <si>
    <t>Aunar esfuerzos para la ejecución del proyecto denominado: “CONSTRUCCIÓN DE PLACA POLIDEPORTIVA CUBIERTA EN LA COMUNIDAD INDIGENA MONDÓ MONDOCITO, MUNICIPIO DE TADÓ-CHOCÓ ”, en los términos señalados en este convenio y en el marco del contrato interadministrativo No. COI-1364 DE 2021 suscrito entre FINDETER y el MINISTERIO</t>
  </si>
  <si>
    <t>Plan Chocó</t>
  </si>
  <si>
    <t>CARTA 2022EE0032719 DEL MINISTERIO DEL DEPORTE DESARROLLO DEL PROYECTO Departamento del Choco</t>
  </si>
  <si>
    <t>CI-0128-2022</t>
  </si>
  <si>
    <t>Directa</t>
  </si>
  <si>
    <t>15m</t>
  </si>
  <si>
    <t>cjrodriguez;</t>
  </si>
  <si>
    <t>Aunar esfuerzos para la ejecución del proyecto denominado: “CONSTRUCCIÓN Y DOTACIÓN DE PLACA POLIDEPORTIVA CUBIERTA EN YUTO, MUNICIPIO DE ATRATO”, en los términos señalados en este convenio y en el marco del contrato interadministrativo No. COI-1364 DE 2021 suscrito entre FINDETER y el MINISTERIO</t>
  </si>
  <si>
    <t>ATRATO</t>
  </si>
  <si>
    <t>CI-0129-2022</t>
  </si>
  <si>
    <t>13m</t>
  </si>
  <si>
    <t>estos contratos tienen el 50%, el 30% y el 20%</t>
  </si>
  <si>
    <t>Aunar esfuerzos para la ejecución del proyecto denominado: “CONTRUCCIÓN PLACA POLIDEPORTIVA CUBIERTA EN LA COMUNIDAD DE SABALETA, EN EL MUNICIPIO CARMEN DE ATRATO, CHOCO”, en los términos señalados en este convenio y en el marco del contrato interadministrativo No. COI-1364 DE 2021 suscrito entre FINDETER y el MINISTERIO</t>
  </si>
  <si>
    <t>CARMEN DE ATRATO</t>
  </si>
  <si>
    <t>CI-0127-2022</t>
  </si>
  <si>
    <t>14m</t>
  </si>
  <si>
    <t>ADICION No. 01 y PRORROGA No. 01 AL CONTRATO DE INTERVENTORIA No. 3-1-102452-COI-1364-08 (PAF-ATMINDEPORTE-I-016-2022), DEL PROYECTO CONSTRUCCIÓN DE LA CANCHA DEL BARRIO SAN LUIS EN EL MUNICIPIO DE VILLANUEVA – DEPARTAMENTO DE LA GUAJIRA, POR VALOR DE $ 46.908.312,00 M/CTE Y POR UN PLAZO DE DOS (02) MESES Y QUINCE (15) DÍAS CALENDARIO</t>
  </si>
  <si>
    <t>SOLICITUD DE ADICIÓN NO. 01 Y PRORROGA NO. 01 AL CONTRATO DE INTERVENTORÍA NO. 3-1-102452-COI-1364-08 (PAF-ATMINDEPORTE-I-016-2022), DEL PROYECTO CONSTRUCCIÓN DE LA CANCHA DEL BARRIO SAN LUIS EN EL MUNICIPIO DE VILLANUEVA – DEPARTAMENTO DE LA GUAJIRA, POR VALOR DE $ 46.908.312,00 M/CTE Y POR UN PLAZO DE DOS (02) MESES Y QUINCE (15) DÍAS CALENDARIO. APROBADA EN COMITÉ TÉCNICO NO. 126 DEL 11/11/2022</t>
  </si>
  <si>
    <t>2m+15d</t>
  </si>
  <si>
    <t>Aunar esfuerzos para la ejecución del proyecto denominado: “CONSTRUCCIÓN PLACA POLIDEPORTIVA CUBIERTA EN EL CORREGIMIENTO DE LA LOMA MUNICIPIO DE BOJAYÁ, DEPARTAMENTO DE CHOCO”, en los términos señalados en este convenio y en el marco del contrato interadministrativo No. COI-1364 DE 2021 suscrito entre FINDETER y el MINISTERIO</t>
  </si>
  <si>
    <t>CI-0125-2022</t>
  </si>
  <si>
    <t>Aunar esfuerzos para la ejecución del proyecto denominado: “CONSTRUCCIÓN Y MEJORAMIENTO DE LA PRIMERA FASE DEL ESCENARIO DE FUTBOL DEL MUNICIPIO DE CÉRTEGUI, EN EL DEPARTAMENTO DE CHOCO”, en los términos señalados en este convenio y en el marco del contrato interadministrativo No. COI-1364 DE 2021 suscrito entre FINDETER y el MINISTERIO</t>
  </si>
  <si>
    <t>CÉRTEGUI</t>
  </si>
  <si>
    <t>CI-0126-2022</t>
  </si>
  <si>
    <t>REVISIÓN, AJUSTE Y COMPLEMENTACIÓN DE ESTUDIOS Y DISEÑOS Y CONSTRUCCIÓN DE CANCHAS DE SQUASH EN EL BARRIO CIUDADELA REAL DE MINAS DEL MUNICIPIO DE BUCARAMANGA, SANTANDER.</t>
  </si>
  <si>
    <t>ESTUDIOS PREVIOS FINALES APROBADOS EN COMITÉ TÉCNICO N° 130 DE FECHA 29/11/2022</t>
  </si>
  <si>
    <t>PAF-ATMINDEPORTE-O-117-2022</t>
  </si>
  <si>
    <t>3-1-102452-COI-1364-84</t>
  </si>
  <si>
    <t>6m1m15d</t>
  </si>
  <si>
    <t>INTERVENTORÍA INTEGRAL (TÉCNICA, ADMINISTRATIVA, FINANCIERA, CONTABLE, AMBIENTAL, SOCIAL Y JURÍDICA) PARA LA REVISIÓN, AJUSTE Y COMPLEMENTACIÓN DE ESTUDIOS Y DISEÑOS Y CONSTRUCCIÓN DE CANCHAS DE SQUASH EN EL BARRIO CIUDADELA REAL DE MINAS DEL MUNICIPIO DE BUCARAMANGA, SANTANDER</t>
  </si>
  <si>
    <t>PAF-ATMINDEPORTE-I-183-2022</t>
  </si>
  <si>
    <t>3-1-102452-COI-1364-85</t>
  </si>
  <si>
    <t>8m1m15d</t>
  </si>
  <si>
    <t>REVISIÓN AJUSTE Y COMPLEMENTACIÓN DE ESTUDIOS Y DISEÑOS Y CONSTRUCCIÓN Y DOTACION DE PLACA POLIDEPORTIVA CUBIERTA EN LA COMUNIDAD INDÍGENA JAIKERASABI DEL MUNICIPIO DE MUTATA.</t>
  </si>
  <si>
    <t>MUTATÁ</t>
  </si>
  <si>
    <t>PAF-ATMINDEPORTE-O-002-2023</t>
  </si>
  <si>
    <t>Vigente facturado solo Ac1Et1</t>
  </si>
  <si>
    <t>3-1-102452-COI-1364-86</t>
  </si>
  <si>
    <t>4m1m15d</t>
  </si>
  <si>
    <t xml:space="preserve">INTERVENTORÍA INTEGRAL (TÉCNICA, ADMINISTRATIVA, FINANCIERA, CONTABLE, AMBIENTAL, SOCIAL Y JURÍDICA) PARA LA REVISIÓN, AJUSTE Y COMPLEMENTACIÓN DE ESTUDIOS Y DISEÑOS Y CONSTRUCCIÓN Y DOTACIÓN DE PLACA POLIDEPORTIVA CUBIERTA EN LA COMUNIDAD INDÍGENA JAIKERASABI DEL MUNICIPIO DE MUTAT”. </t>
  </si>
  <si>
    <t>PAF-ATMINDEPORTE-I-184-2022</t>
  </si>
  <si>
    <t>3-1-102452-COI-1364-87</t>
  </si>
  <si>
    <t>PRÓRROGA POR UN TÉRMINO DE UN (1) MES Y VEINTIÚN (21) DÁS CALENDARIO Y ADICIÓN DE RECURSOS POR UN  VALOR DE VEINTIÚN MILLONES CUATROCIENTOS SETENTA Y DOS MIL SETECIENTOS CUARENTA Y DOS PESOS MCTE ($21.472.742) AL CONTRATO No 3-1-102452-COI-1364-51 (PAF-ATMINDEPORTE-I-048-2022 CUYO OBJETO ES LA REVISIÓN DE ESTUDIOS Y DISEÑOS Y LA “INTERVENTORÍA INTEGRAL (ADMINISTRATIVA, FINANCIERA, CONTABLE, AMBIENTAL, SOCIAL, JURÍDICA Y TÉCNICA) PARA EL "MEJORAMIENTO DE LA CANCHA DE FÚTBOL JOSÉ MARÍA CÓRDOBA MUNICIPIO DE YARUMAL –ANTIOQUIA</t>
  </si>
  <si>
    <t>PRÓRROGA POR UN TÉRMINO DE UN (1) MES Y VEINTIÚN (21) DÍAS CALENDARIO Y ADICIÓN DE RECURSOS POR UN  VALOR DE VEINTIÚN MILLONES CUATROCIENTOS SETENTA Y DOS MIL SETECIENTOS CUARENTA Y DOS PESOS MCTE ($21.472.742) AL CONTRATO No 3-1-102452-COI-1364-51 (PAF-ATMINDEPORTE-I-048-2022) COMITÉ  TÉCNICO 132</t>
  </si>
  <si>
    <t>1m21d</t>
  </si>
  <si>
    <t>REVISIÓN, AJUSTE Y COMPLEMENTACIÓN DE ESTUDIOS Y DISEÑOS Y CONSTRUCCIÓN DE LA CANCHA EN GRAMA SINTÉTICA Y DEMÁS OBRAS COMPLEMENTARIAS EN EL CORREGIMIENTO DE SAN FRANCISCO, LINARES - NARIÑO</t>
  </si>
  <si>
    <t>ESTUDIOS PREVIOS FINALES APROBADOS POR EL GERENTE DE INFRAESTRUCTURA Y VICEPRESIDENTE TÉCNICO</t>
  </si>
  <si>
    <t>PAF-ATMINDEPORTE-O-105-2022</t>
  </si>
  <si>
    <t>3-1-102452-COI-1364-75</t>
  </si>
  <si>
    <t>4m15d1m15d</t>
  </si>
  <si>
    <t>INTERVENTORÍA INTEGRAL (ADMINISTRATIVA, FINANCIERA, CONTABLE, AMBIENTAL, SOCIAL, JURÍDICA Y TÉCNICA) PARA LA REVISIÓN, AJUSTE Y COMPLEMENTACIÓN DE ESTUDIOS Y DISEÑOS Y CONSTRUCCIÓN DE LA CANCHA EN GRAMA SINTÉTICA Y DEMÁS OBRAS COMPLEMENTARIAS EN EL CORREGIMIENTO DE SAN FRANCISCO, LINARES - NARIÑO</t>
  </si>
  <si>
    <t>PAF-ATMINDEPORTE-I-187-2022</t>
  </si>
  <si>
    <t>3-1-102452-COI-1364-79</t>
  </si>
  <si>
    <t>REVISIÓN, AJUSTE Y COMPLEMENTACIÓN DE ESTUDIOS Y DISEÑOS Y CONSTRUCCIÓN DE LA CANCHA MÚLTIPLE CUBIERTA VEREDA LA MORITA MUNICIPIO DE TRINIDAD, DEPARTAMENTO DE CASANARE</t>
  </si>
  <si>
    <t>TRINIDAD</t>
  </si>
  <si>
    <t>PAF-ATMINDEPORTE-O-103-2022</t>
  </si>
  <si>
    <t>3-1-102452-COI-1364-78</t>
  </si>
  <si>
    <t>REVISIÓN AJUSTE Y COMPLEMENTACIÓN DE ESTUDIOS Y DISEÑOS Y EL MEJORAMIENTO Y ADECUACION DEL POLIDEPORTIVO UBICADO ENTRE CALLES 20 Y 21 CON CARRERAS 9 Y 10 EN EL BARRIO SANTA BARBARA DEL MUNICIPIO DE VILLA DEL ROSARIO, NORTE DE SANTANDER.</t>
  </si>
  <si>
    <t>VILLA DEL ROSARIO</t>
  </si>
  <si>
    <t>PAF-ATMINDEPORTE-O-106-2022</t>
  </si>
  <si>
    <t>Vigente sin ejecución financiera</t>
  </si>
  <si>
    <t>3-1-102452-COI-1364-76</t>
  </si>
  <si>
    <t>INTERVENTORÍA INTEGRAL (TÉCNICA, ADMINISTRATIVA, FINANCIERA, CONTABLE, AMBIENTAL, SOCIAL Y JURÍDICA) PARA LA REVISIÓN, AJUSTE Y COMPLEMENTACIÓN DE ESTUDIOS Y DISEÑOS Y MEJORAMIENTO Y ADECUACIÓN DEL POLIDEPORTIVO UBICADO ENTRE CALLES 20 Y 21 CON CARRERAS 9 Y 10 EN EL BARRIO SANTA BARBARA DEL MUNICIPIO DE VILLA DEL ROSARIO, NORTE DE SANTANDER.</t>
  </si>
  <si>
    <t>PAF-ATMINDEPORTE-I-188-2022</t>
  </si>
  <si>
    <t>3-1-102452-COI-1364-81</t>
  </si>
  <si>
    <t>10m1m15d</t>
  </si>
  <si>
    <t>REVISIÓN AJUSTE Y COMPLEMENTACIÓN DE ESTUDIOS Y DISEÑOS Y CONSTRUCCIÓN DEL POLIDEPORTIVO CUBIERTO EN LA VEREDA SAN VICENTE DEL MUNICIPIO DE SAN LORENZO, NARIÑO</t>
  </si>
  <si>
    <t>SAN LORENZO</t>
  </si>
  <si>
    <t>PAF-ATMINDEPORTE-O-104-2022</t>
  </si>
  <si>
    <t>3-1-102452-COI-1364-83</t>
  </si>
  <si>
    <t>INTERVENTORÍA INTEGRAL (TÉCNICA, ADMINISTRATIVA, FINANCIERA, CONTABLE, AMBIENTAL, SOCIAL Y JURÍDICA) PARA LA REVISIÓN, AJUSTE Y COMPLEMENTACIÓN DE ESTUDIOS Y DISEÑOS Y CONSTRUCCIÓN DE POLIDEPORTIVO CUBIERTO EN LA VEREDA SAN VICENTE DEL MUNICIPIO DE SAN LORENZO, NARIÑO</t>
  </si>
  <si>
    <t>PAF-ATMINDEPORTE-I-186-2022</t>
  </si>
  <si>
    <t>3-1-102452-COI-1364-77</t>
  </si>
  <si>
    <t>INTERVENTORÍA INTEGRAL (TÉCNICA, ADMINISTRATIVA, FINANCIERA, CONTABLE, AMBIENTAL, SOCIAL Y JURÍDICA) PARA LA REVISIÓN, AJUSTE Y COMPLEMENTACIÓN DE ESTUDIOS Y DISEÑOS Y CONSTRUCCIÓN DE LA CANCHA MULTIPLE CUBIERTA VEREDA LA MORITA MUNICIPIO DE TRINIDAD, DEPARTAMENTO DE CASANARE</t>
  </si>
  <si>
    <t>PAF-ATMINDEPORTE-I-189-2022</t>
  </si>
  <si>
    <t>3-1-102452-COI-1364-74</t>
  </si>
  <si>
    <t>REVISIÓN, AJUSTES Y COMPLEMENTACIÓN DE ESTUDIOS Y DISEÑOS, CONSTRUCCIÓN DE CUBIERTA Y OBRAS COMPLEMENTARIAS PARA EL POLIDEPORTIVO BARRIO CÁLAMO CALLE 9 No. 13-42 PRIMERA ETAPA, MUNICIPIO DE PITALITO - HUILA.</t>
  </si>
  <si>
    <t>PAF-ATMINDEPORTE-O-108-2022</t>
  </si>
  <si>
    <t>3-1-102452-COI-1364-80</t>
  </si>
  <si>
    <t>INTERVENTORÍA INTEGRAL (TÉCNICA, ADMINISTRATIVA, FINANCIERA, CONTABLE, AMBIENTAL, SOCIAL Y JURÍDICA) PARA LA REVISIÓN, AJUSTES Y COMPLEMENTACIÓN DE ESTUDIOS Y DISEÑOS, CONSTRUCCIÓN DE CUBIERTA Y OBRAS COMPLEMENTARIAS PARA EL POLIDEPORTIVO BARRIO CÁLAMO CALLE 9 No. 13-42 PRIMERA ETAPA, MUNICIPIO DE PITALITO - HUILA.</t>
  </si>
  <si>
    <t>PAF-ATMINDEPORTE-I-190-2022</t>
  </si>
  <si>
    <t>3-1-102452-COI-1364-82</t>
  </si>
  <si>
    <t>ADICIÓN Y PRÓRROGA ETAPA II PARA EL CONTRATO DE OBRA No. 3-1-102452-COI-1364-63 (PAF-ATMINDEPORTE-O-028-2022) QUE TIENE POR OBJETO “LA ELABORACIÓN DE LOS ESTUDIOS Y DISEÑOS, Y LA ADECUACIÓN Y REMODELACIÓN DE LAS INSTALACIONES DEL CENTRO DE CIENCIAS DEL DEPORTE-CCD EN EL CENTRO DE ALTO RENDIMIENTO EN BOGOTÁ D.C.</t>
  </si>
  <si>
    <t>SOLICITUD ADICIÓN Y PRÓRROGA ETAPA 2 PARA EL CONTRATO DE OBRA No. 3-1-102452-COI-1364-63 (PAF-ATMINDEPORTE-O-028-2022) APROBADOS EN COMITÉ TÉCNICO N° 135 DE FECHA 19/12/2022</t>
  </si>
  <si>
    <t>ADICIÓN Y PRÓRROGA A LA ETAPA II DEL CONTRATO DE INTERVENTORÍA No. 3-1-102452-COI-1364-66 (PAF-ATMINDEPORTE-I-116-2022) QUE TIENE POR OBJETO “INTERVENTORÍA INTEGRAL (ADMINISTRATIVA, FINANCIERA, CONTABLE, AMBIENTAL, SOCIAL, JURÍDICA Y TÉCNICA) A LA “ELABORACIÓN DE LOS ESTUDIOS Y DISEÑOS, Y LA ADECUACIÓN Y REMODELACIÓN DE LAS INSTALACIONES DEL CENTRO DE CIENCIAS DEL DEPORTE CCD EN EL CENTRO DE ALTO RENDIMIENTO EN BOGOTÁ D.C.</t>
  </si>
  <si>
    <t>SOLICITUD ADICIÓN Y PRÓRROGA ETAPA 2 PARA EL CONTRATO DE INTERVENTORÍA No. 3-1-102452-COI-1364-66 (PAF-ATMINDEPORTE-I-116-2022) APROBADOS EN COMITÉ TÉCNICO N° 135 DE FECHA 19/12/2022</t>
  </si>
  <si>
    <t>ADICIÓN Y PRÓRROGA A LA ETAPA II DEL CONTRATO DE REVISIÓN DE ESTUDIOS Y DISEÑOS Y LA INTERVENTORÍA INTEGRAL (ADMINISTRATIVA, FINANCIERA, CONTABLE, AMBIENTAL, SOCIAL, JURÍDICA Y TÉCNICA) PARA LA ADECUA-CIÓN Y REMODELACIÓN DEL COMPLEJO POLIDEPORTIVO RAFAEL J. MEJÍA DEL MUNICIPIO DE TÁMESIS EN EL MARCO DEL CONVENIO NÚMERO COID-1223-2021.</t>
  </si>
  <si>
    <t>SOLICITUD ADICIÓN Y PRÓRROGA ETAPA 2 PARA EL CONTRATO DE INTERVENTORÍA No. 3-1-102452-COI-1364-71 (PAF-ATMINDEPORTE-I-051-2022) APROBADOS EN COMITÉ TÉCNICO N° 135 DE FECHA 19/12/2022</t>
  </si>
  <si>
    <t>Aunar esfuerzos para la ejecución del proyecto denominado: “CONSTRUCCIÓN ETAPA 1 DE LA UNIDAD DEPORTIVA Y RECREATIVA PARA LA INTEGRACIÓN DE LOS MUNICIPIOS ROBERTO PAYÁN, MAGÛI PAYÁN Y BARBACOAS EN EL CASCO URBANO DEL MUNICIPIO ROBERTO PAYÁN”, en los términos señalados en este convenio y en el marco del contrato interadministrativo No. COI-1364 DE 2021 suscrito entre FINDETER y el MINISTERIO</t>
  </si>
  <si>
    <t>ROBERTO PAYÁN</t>
  </si>
  <si>
    <t>Comunicación del Ministerio del Deporte No. 2022EE0037567 de fecha 27/12/22</t>
  </si>
  <si>
    <t>*Se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**Comunicación del Ministerio del Deporte No. 2022EE0037567 de fecha 27/12/22, en el cual , permito dar viabilidad al desarrollo del proyecto Roberto Payan, con el fin de que la Financiera de Desarrollo Territorial estructure y desarrolle con el ente territorial el proyecto viabilizado con concepto sectorial por parte del Ministerio del Deporte, en fase III, con el fin de qué manera mancomunada los recursos objeto del proyecto sean asignados al ente territorial para el desarrollo y contratación de la obra pública del municipio , para el proyecto: "CONSTRUCCION ETAPA 1 DE LA UNIDAD DEPORTIVA Y RECREATIVA PARA LA INTEGRACION DE LOS MUNICPIOS ROBERTO PAYAN, MAGUI PAYAN Y BARBACOAS EN EL CASCO URBANO DEL MUNICIPIO DE ROBERTA PAYAN, NARIÑO", por un valor de $2.879.211.021.00</t>
  </si>
  <si>
    <t>CI-0134-2022</t>
  </si>
  <si>
    <t>10m</t>
  </si>
  <si>
    <t>ELABORACION DE ESTUDIOS Y DISEÑOS Y OBRAS DE ADECUACION, MANTENIMIENTO Y/O REFORZAMIENTO ESTRUCTURAL DE LAS EDIFICACIONES DENTRO DEL CENTRO DE ALTO RENDIMIENTO EN ALTURA EN BOGOTA D.C.</t>
  </si>
  <si>
    <t>PAF-ATMINDEPORTE-O-025-2023</t>
  </si>
  <si>
    <t>3-1-102452-COI-1364-94</t>
  </si>
  <si>
    <t>6m3m</t>
  </si>
  <si>
    <t>jaarrieta</t>
  </si>
  <si>
    <t>ojo este tiene licencias de construcción/permiso de ocupación del espacio públicos y demás permisos</t>
  </si>
  <si>
    <t>INTERVENTORÍA INTEGRAL (TÉCNICA, ADMINISTRATIVA, FINANCIERA, CONTABLE, AMBIENTAL, SOCIAL Y JURÍDICA) PARA LA ELABORACION DE ESTUDIOS Y DISEÑOS Y OBRAS DE ADECUACION, MANTENIMIENTO Y/O REFORZAMIENTO ESTRUCTURAL DE LAS EDIFICACIONES DENTRO DEL CENTRO DE ALTO RENDIMIENTO EN ALTURA EN BOGOTA D.C.</t>
  </si>
  <si>
    <t>PAF-ATMINDEPORTE-I-002-2023</t>
  </si>
  <si>
    <t>3-1-102452-COI-1364-95</t>
  </si>
  <si>
    <t>8m3m</t>
  </si>
  <si>
    <t>ADICIÓN Y PRÓRROGA DEL CONTRATO DE REVISIÓN DE ESTUDIOS Y DISEÑOS Y LA INTERVENTORÍA INTEGRAL (ADMINISTRATIVA, FINANCIERA, CONTABLE, AMBIENTAL, SOCIAL, JURÍDICA Y TÉCNICA) A LA CONSTRUCCIÓN DEL PROYECTO DENOMINADO “CONSTRUCCIÓN DE ESTADIO DE SOFTBOL EN EL MUNICIPIO DE CLEMENCIA, DEPARTAMENTO DE BOLIVAR</t>
  </si>
  <si>
    <t>SOLICITUD PRÓRROGA No.1 POR EL TÉRMINO DE DOS (2) MESES Y CINCO (5) DÍAS, DEL 08/04/2023 AL 12/06/2023 Y ADICIÓN DE RECURSOS POR TREINTA Y NUEVE MILLONES SESENTA Y SIETE MIL SEISCIENTOS NOVENTA Y CUATRO PESOS M/CTE ($39.067.694) AL CONTRATO DE INTERVENTORÍA PAF-ATMINDEPORTE-I-050-2022 APROBADO EN EL COMITÉ TÉCNICO No. 146 DEL 30/01/2023</t>
  </si>
  <si>
    <t>2m5d</t>
  </si>
  <si>
    <t>ADICIÓN Y PRÓRROGA DEL CONTRATO DE REVISIÓN A ESTUDIOS Y DISEÑOS Y LA INTERVENTORÍA INTEGRAL (ADMINISTRATIVA, FINANCIERA, CONTABLE, AMBIENTAL, SOCIAL, JURÍDICA Y TÉCNICA) AL MEJORAMIENTO DEL POLIDEPORTIVO DE LA CABECERA MUNICIPAL - OLAYA HERRERA - NARIÑO</t>
  </si>
  <si>
    <t xml:space="preserve">SOLICITUD DE ADICIÓN Y PRÓRROGA No. 01 DEL CONTRATO DE INTERVENTORÍA NO. 3-1-102452-COI-1364-23 (PAF-ATMINDEPORTE-I-023-2022) POR UN PLAZO DE UN (01) MES Y UNA ADICIÓN POR VALOR DE $24.368.158, APROBADO EN EL COMITÉ TÉCNICO No. 146 DEL 30/01/2023. </t>
  </si>
  <si>
    <t>ADICIÓN Y PRÓRROGA DEL CONTRATO DE REVISIÓN A ESTUDIOS Y DISEÑOS Y LA INTERVENTORÍA INTEGRAL (ADMINISTRATIVA, FINANCIERA, CONTABLE, AMBIENTAL, SOCIAL, JURÍDICA Y TÉCNICA) A LA CONSTRUCCIÓN DE LA CANCHA DEL BARRIO SAN LUIS EN EL MUNICIPIO DE VILLANUEVA – DEPARTAMENTO DE LA GUAJIRA.</t>
  </si>
  <si>
    <t>SOLICITUD DE ADICIÓN Y PRÓRROGA No. 02 DEL CONTRATO DE INTERVENTORÍA CONTRATO DE INTERVENTORIA NO. 3-1-102452-COI-1364-08 (PAF-ATMINDEPORTE-I-016-2022) POR UN PLAZO DE DOS (02) MESES Y UNA ADICIÓN POR UN VALOR DE $ 18.763.325, APROBADO EN EL COMITÉ TÉCNICO No. 146 DEL 30/01/2023.</t>
  </si>
  <si>
    <t>2m</t>
  </si>
  <si>
    <t>ADICIÓN Y PRÓRROGA DEL CONTRATO DE REVISIÓN DE ESTUDIOS Y DISEÑOS Y LA “INTERVENTORÍA INTEGRAL (ADMINISTRATIVA, FINANCIERA, CONTABLE, AMBIENTAL, SOCIAL, JURÍDICA Y TÉCNICA) PARA EL MEJORAMIENTO DE LA CANCHA DE FÚTBOL JOSÉ MARÍA CÓRDOBA MUNICIPIO DE YARUMAL – ANTIOQUIA</t>
  </si>
  <si>
    <t>PRÓRROGA POR UN TÉRMINO DE TREINTA (30) DÍAS CALENDARIO Y ADICIÓN DE RECURSOS POR UN  VALOR DE VEINTIDOS MILLONES NOVECIENTOS SETENTA Y TRES MIL QUINIENTOS VEINTISEIS PESOS MCTE ($22.973.526) AL CONTRATO No 3-1-102452-COI-1364-51 (PAF-ATMINDEPORTE-I-048-2022) COMITÉ  TÉCNICO 149</t>
  </si>
  <si>
    <t>ADICIÓN Y PRÓRROGA AL CONTRATO DE REVISIÓN DE ESTUDIOS Y DISEÑOS Y LA INTERVENTORÍA INTEGRAL (ADMINISTRATIVA, FINANCIERA, CONTABLE, AMBIENTAL, SOCIAL, JURÍDICA Y TÉCNICA) A LA CONSTRUCCIÓN DE CANCHA DE FÚTBOL EN EL CASCO URBANO DEL MUNICIPIO DE FRANCISCO PIZARRO, DEPARTAMENTO DE NARIÑO-ETAPA I</t>
  </si>
  <si>
    <t>SOLICITUD DE PRÓRROGA NO. 1 POR EL TÉRMINO DE DOS MES (02) Y QUINCE (15) DÍAS CALENDARIO Y POR ENDE, LA ADICIÓN NO 1 POR UN VALOR DE NOVENTA Y SIETE MILLONES SETECIENTOS TREINTA Y DOS MIL QUINIENTOS OCHENTA PESOS ($97.732.580,00) M/CTE AL CONTRATO NO. 3-1-102452-COI-1364-06 (PAF-ATMINDEPORTE-I-021-2022), APROBADO EN EL COMITÉ TÉCNICO No. 150</t>
  </si>
  <si>
    <t>15d+15d+d15d+1m</t>
  </si>
  <si>
    <t>ADICIÓN Y PRÓRROGA AL CONTRATO DE LA REVISIÓN DE ESTUDIOS Y DISEÑOS Y LA INTERVENTORÍA INTEGRAL (ADMINISTRATIVA, FINANCIERA, CONTABLE, AMBIENTAL, SOCIAL, JURÍDICA Y TÉCNICA) A LA CONSTRUCCIÓN DE PARQUE Y CANCHA RECREO-DEPORTIVA SEMILLAS DE FE EN EL MUNICIPIO DE SABANALARGA ATLÁNTICO</t>
  </si>
  <si>
    <t>SOLICITUD: PRÓRROGA NO. 2 POR EL TÉRMINO DE UN MES (01) Y POR ENDE, LA ADICIÓN NO 2 POR UN VALOR QUINCE MILLONES QUINIENTOS CUARENTA Y SIETE MIL CUATROCIENTOS DIEZ PESOS ($15.547.410,00) M/CTE AL CONTRATO NO. 3-1-102452-COI-1364-12 (PAF-ATMINDEPORTE-I-029-2022), APROBADO EN EL COMITÉ TÉCNICO No. 150</t>
  </si>
  <si>
    <t>24d</t>
  </si>
  <si>
    <t>ADICIÓN Y PRÓRROGA AL CONTRATO DE LA REVISIÓN DE ESTUDIOS Y DISEÑOS Y LA INTERVENTORÍA INTEGRAL (ADMINISTRATIVA, FINANCIERA, CONTABLE, AMBIENTAL, SOCIAL, JURÍDICA Y TÉCNICA) A LA CONSTRUCCION DE CENTRO DE RECREACIÓN PARA LA ÓPTIMA REALIZACIÓN DEL DEPORTE EN EL MUNICIPIO DE VALENCIA, CÓRDOBA</t>
  </si>
  <si>
    <t>SOLICITUD: PRÓRROGA NO. 1 POR EL TÉRMINO DE VEINTE (20) DÍAS CALENDARIO Y POR ENDE, LA ADICIÓN NO. 1 POR UN VALOR DE DIECIOCHO MILLONES TRESCIENTOS TRECE MIL NOVECIENTOS SESENTA Y OCHO ($18.313.968) M/CTE AL CONTRATO NO. 3-1-102452-COI-1364-09 (PAF-ATMINDEPORTE-I-018-2022), APROBADO EN EL COMITÉ TÉCNICO No. 150</t>
  </si>
  <si>
    <t>ADICIÓN No 3 Y PRÓRROGA No 4 AL CONTRATO DE INTERVENTORÍA No. 3-1-102452-COI-1364-66 (PAF-ATMINDEPORTE-I-116-2022) QUE TIENE POR OBJETO “INTERVENTORÍA INTEGRAL (ADMINISTRATIVA, FINANCIERA, CONTABLE, AMBIENTAL, SOCIAL, JURÍDICA Y TÉCNICA) A LA “ELABORACIÓN DE LOS ESTUDIOS Y DISEÑOS, Y LA ADECUACIÓN Y REMODELACIÓN DE LAS INSTALACIONES DEL CENTRO DE CIENCIAS DEL DEPORTE CCD EN EL CENTRO DE ALTO RENDIMIENTO EN BOGOTÁ D.C.</t>
  </si>
  <si>
    <t>SOLICITUD DE PRÓRROGA POR EL TÉRMINO DE QUINCE (15) DÍAS CALENDARIO Y ADICIÓN POR UN VALOR DE NUEVE MILLONES NOVECIENTOS CUARENTA Y CUATRO MIL OCHOCIENTOS CINCUENTA Y SEIS PESOS ($9.944.856,00) M/CTE AL CONTRATO DE INTERVENTORÍA NO. PAF-ATMINDEPORTE-I-116-2022 APROBADO EN COMITÉ TÉCNICO 155</t>
  </si>
  <si>
    <t xml:space="preserve">*Se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inicial de CIENTO TREINTA Y CUATRO MIL QUINIENTOS TREINTA Y TRES MILLONES TRESCIENTOS DOS MIL SEISCIENTOS CUARENTA Y DOS PESOS M/CTE. ($134.533.302.642), incrementado para un valor actual de CIENTO SETENTA Y OCHO MIL SEISCIENTOS TREINTA Y TRES MILLONES CUATROCIENTOS CINCUENTA MIL SEISCIENTOS OCHENTA Y DOS PESOS CON SETENTA Y OCHO CENTAVOS MONEDA CORRIENTE ($178.633.450.682,78 M/CTE)
</t>
  </si>
  <si>
    <t>ADICIÓN No 3 Y PRÓRROGA No 4 AL CONTRATO DE OBRA No. 3-1-102452-COI-1364-63 (PAF-ATMINDEPORTE-O-028-2022) QUE TIENE POR OBJETO “LA ELABORACIÓN DE LOS ESTUDIOS Y DISEÑOS, Y LA ADECUACIÓN Y REMODELACIÓN DE LAS INSTALACIONES DEL CENTRO DE CIENCIAS DEL DEPORTE-CCD EN EL CENTRO DE ALTO RENDIMIENTO EN BOGOTÁ D.C.</t>
  </si>
  <si>
    <t>SOLICITUD DE PRÓRROGA POR EL TÉRMINO DE QUINCE (15) DÍAS CALENDARIO Y ADICIÓN POR UN VALOR DE CIENTO DIECIOCHO MILLONES DOSCIENTOS NOVENTA Y UN MIL SETECIENTOS VEINTICINCO PESOS ($118.291.725,00) M/CTE AL CONTRATO DE INTERVENTORÍA NO. PAF-ATMINDEPORTE-O-028-2022 APROBADO EN COMITÉ TÉCNICO 155</t>
  </si>
  <si>
    <t>INTERVENTORÍA INTEGRAL (TÉCNICA, ADMINISTRATIVA, FINANCIERA, CONTABLE, AMBIENTAL, SOCIAL Y JURÍDICA) PARA LA REVISIÓN, AJUSTE Y COMPLEMENTACIÓN DE ESTUDIOS Y DISEÑOS Y CONSTRUCCIÓN DEL COLISEO POLIDEPORTIVO Y RECREATIVO LA POLA EN EL MUNICIPIO DE LA CRUZ, DEPARTAMENTO DE NARIÑO</t>
  </si>
  <si>
    <t>LA CRUZ</t>
  </si>
  <si>
    <t>PAF-ATMINDEPORTE-I-009-2023</t>
  </si>
  <si>
    <t>3-1-102452-COI-1364-92</t>
  </si>
  <si>
    <t>12m1m15d</t>
  </si>
  <si>
    <t>REVISIÓN, AJUSTE Y COMPLEMENTACIÓN DE ESTUDIOS Y DISEÑOS Y CONSTRUCCIÓN DEL COLISEO POLIDEPORTIVO Y RECREATIVO LA POLA EN EL MUNICIPIO DE LA CRUZ, DEPARTAMENTO DE NARIÑO</t>
  </si>
  <si>
    <t>PAF-ATMINDEPORTE-O-013-2023</t>
  </si>
  <si>
    <t>3-1-102452-COI-1364-88</t>
  </si>
  <si>
    <t>REVISIÓN, AJUSTE Y COMPLEMENTACIÓN DE ESTUDIOS Y DISEÑOS Y CONSTRUCCIÓN DEL PARQUE PRINCIPAL BARRIO EL BOSQUE DEL MUNICIPIO DE PAILITAS, CESAR</t>
  </si>
  <si>
    <t>PAF-ATMINDEPORTE-O-015-2023</t>
  </si>
  <si>
    <t>3-1-102452-COI-1364-89</t>
  </si>
  <si>
    <t>p2m</t>
  </si>
  <si>
    <t>INTERVENTORÍA INTEGRAL (TÉCNICA, ADMINISTRATIVA, FINANCIERA, CONTABLE, AMBIENTAL, SOCIAL Y JURÍDICA) PARA LA REVISIÓN, AJUSTE Y COMPLEMENTACIÓN DE ESTUDIOS Y DISEÑOS “REVISIÓN, AJUSTE Y COMPLEMENTACIÓN DE ESTUDIOS Y DISEÑOS Y CONSTRUCCIÓN DEL PARQUE PRINCIPAL BARRIO EL BOSQUE DEL MUNICIPIO DE PAILITAS, CESAR</t>
  </si>
  <si>
    <t>PAF-ATMINDEPORTE-I-010-2023</t>
  </si>
  <si>
    <t>3-1-102452-COI-1364-91</t>
  </si>
  <si>
    <t>REVISIÓN, AJUSTES Y COMPLEMENTACIÓN DE ESTUDIOS Y DISEÑOS Y, CONSTRUCCIÓN DE UN POLIDEPORTIVO Y ORNATO PÚBLICO EN EL CASCO URBANO DEL MUNICIPIO DE SÁCAMA, DEPARTAMENTO DE CASANARE</t>
  </si>
  <si>
    <t>PAF-ATMINDEPORTE-O-016-2023</t>
  </si>
  <si>
    <t>3-1-102452-COI-1364-93</t>
  </si>
  <si>
    <t>6m15d1m15d</t>
  </si>
  <si>
    <t>INTERVENTORÍA INTEGRAL (TÉCNICA, ADMINISTRATIVA, FINANCIERA, CONTABLE, AMBIENTA, SOCIAL Y JURÍDICA) PARA LA REVISIÓN, AJUSTES Y COMPLEMENTACIÓN DE ESTUDIOS Y DISEÑOS Y, CONSTRUCCIÓN DE UN POLIDEPORTIVO Y ORNATO PÚBLICO EN EL CASCO URBANO DEL MUNICIPIO DE SÁCAMA, DEPARTAMENTO DE CASANARE</t>
  </si>
  <si>
    <t>PAF-ATMINDEPORTE-I-011-2023</t>
  </si>
  <si>
    <t>3-1-102452-COI-1364-90</t>
  </si>
  <si>
    <t>8m15d1m15d</t>
  </si>
  <si>
    <t>ADICIÓN Y PRORROGA PARA EL CONTRATO DE INTERVENTORÍA No. 3-1-102452-COI-1364-29 (PAF-ATMINDEPORTE-I-075-2022) INTERVENTORÍA INTEGRAL (ADMINISTRATIVA, FINANCIERA, CONTABLE, AMBIENTAL, SOCIAL, JURÍDICA Y TÉCNICA) A LA ADECUACIÓN PISTA DE ATLETISMO ESTADIO PEDRO GRAJALES EN EL DISTRITO ESPECIAL DE CALI.</t>
  </si>
  <si>
    <t>Interventoría Contrapartida</t>
  </si>
  <si>
    <t>SOLICITUD DE PRÓRROGA POR EL TÉRMINO DE DOS (2) MESES Y ADICIÓN POR UN VALOR DE NOVENTA Y SIETE MILLONES CIENTO DIEZ MIL TREINTA Y TRES PESOS ($97.110.033,00) M/CTE AL CONTRATO DE INTERVENTORÍA NO. PAF-ATMINDEPORTE-I-075-2022 APROBADO EN COMITÉ TÉCNICO 160</t>
  </si>
  <si>
    <t>Presupuesto Municipal</t>
  </si>
  <si>
    <t>INDERVALLE</t>
  </si>
  <si>
    <t>La presente solicitud de adición de recursos se da en el marco del Convenio Interadministrativo IND-22-4872 suscrito entre INDERVALLE y Findeter, establece que INDERVALLE asumirá el costo por valor de $97.110.033 por la prórroga de dos (2) meses al contrato de interventoría PAF-ATMINDEPORTE-I-075-2022, por lo tanto, el valor del contrato de interventoría asciende a la suma de $495.775.791, en concordancia con la cláusula cuarta parágrafo primero del contrato de prestación de servicios de Asistencia Técnica y Administración de Recursos No. COI-1364-2021 celebrado entre el Ministerio del Deporte y Findeter.</t>
  </si>
  <si>
    <t>ADICIÓN Y PRORROGA PARA EL CONTRATO DE INTERVENTORÍA INTEGRAL (ADMINISTRATIVA, FINANCIERA, CONTABLE, AMBIENTAL, SOCIAL, JURÍDICA Y TÉCNICA) A LA CONSTRUCCIÓN DE CANCHA SINTÉTICA DE FUTBOL, Y MÚLTIPLE EN LA INSTITUCIÓN EDUCATIVA TÉCNICA FRANCISCO DE PAULA SANTANDER EN EL MUNICIPIO DE GALAPA-DEPARTAMENTO DE ATLÁNTICO</t>
  </si>
  <si>
    <t>SOLICITUD DE PRÓRROGA POR EL TÉRMINO DE DOS (2) MESES Y ADICIÓN POR UN VALOR DE TREINTA MILLONES SETECIENTOS CUARENTA Y SEIS MIL CINCUENTA Y CUATRO PESOS M/CTE ($30.746.054)  AL CONTRATO DE INTERVENTORÍA No. 3-1-102452-COI-1364-57 (PAF-ATMINDEPORTE-I-086-2022) APROBADO EN COMITÉ TÉCNICO 163</t>
  </si>
  <si>
    <t xml:space="preserve">*Se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por valor actual de CIENTO SETENTA Y OCHO MIL SEISCIENTOS TREINTA Y TRES MILLONES CUATROCIENTOS CINCUENTA MIL SEISCIENTOS OCHENTA Y DOS PESOS CON SETENTA Y OCHO CENTAVOS MONEDA CORRIENTE ($178.633.450.682,78 M/CTE).
</t>
  </si>
  <si>
    <t>20d+10d</t>
  </si>
  <si>
    <t>ADICIÓN Y PRORROGA PARA EL CONTRATO DE INTERVENTORÍA INTEGRAL (ADMINISTRATIVA, FINANCIERA, CONTABLE, AMBIENTAL, SOCIAL, JURÍDICA Y TÉCNICA) A LA CONSTRUCCIÓN DE PLACA POLIDEPORTIVA CUBIERTA EN LA COMUNIDAD DE TEATINO, MUNICIPIO DE SIPÍ, DEPARTAMENTO DEL CHOCÓ.</t>
  </si>
  <si>
    <t>SOLICITUD DE PRÓRROGA POR EL TÉRMINO DE DOS (2) MESES Y ADICIÓN POR UN VALOR DE TREINTA Y UN MILLONES SETECIENTOS CINCUENTA Y UN MIL TREINTA Y UN PESOS CON 42 CENTVOS M/CTE ($31.751.031,42)  AL CONTRATO DE INTERVENTORÍA No. 3-1-102452-COI-1364-24 (PAF-ATMINDEPORTE-I-024-2022) APROBADO EN COMITÉ TÉCNICO 163</t>
  </si>
  <si>
    <t>INTERVENTORÍA TÉCNICA, ADMINISTRATIVA, FINANCIERA, CONTABLE, AMBIENTAL, SOCIAL Y JURÍDICA PARA LA EJECUCIÓN DEL PROYECTO DENOMINADO CONSTRUCCIÓN ETAPA 1 DE LA UNIDAD DEPORTIVA Y RECREATIVA PARA LA INTEGRACIÓN DE LOS MUNICIPIOS ROBERTO PAYÁN, MAGÛI PAYÁN Y BARBACOAS EN EL CASCO URBANO DEL MUNICIPIO ROBERTO PAYÁN.</t>
  </si>
  <si>
    <t>Interventoría Plan Chocó</t>
  </si>
  <si>
    <t>PAF-ATMINDEPORTE-I-024-2023</t>
  </si>
  <si>
    <t>3-1-102452-COI-1364-96</t>
  </si>
  <si>
    <t>8m</t>
  </si>
  <si>
    <t>10d+10d</t>
  </si>
  <si>
    <t>INTERVENTORÍA TÉCNICA, ADMINISTRATIVA, FINANCIERA, CONTABLE, AMBIENTAL, SOCIAL Y JURÍDICA PARA LA EJECUCIÓN DEL PROYECTO "DENOMINADO CONSTRUCCIÓN Y MEJORAMIENTO DE LA PRIMERA FASE DEL ESCENARIO DE FÚTBOL DEL MUNICIPIO DE CÉRTEGUI EN EL DEPARTAMENTO DEL CHOCÓ".</t>
  </si>
  <si>
    <t>PAF-ATMINDEPORTE-I-023-2023</t>
  </si>
  <si>
    <t>3-1-102452-COI-1364-97</t>
  </si>
  <si>
    <t>12m</t>
  </si>
  <si>
    <t>ADICION Y PRORROGA PARA EL CONTRATO DE REVISIÓN A ESTUDIOS Y DISEÑOS Y LA INTERVENTORÍA INTEGRAL (ADMINISTRATIVA, FINANCIERA, CON-TABLE, AMBIENTAL, SOCIAL, JURÍDICA Y TÉCNICA) PARA LA ADECUACIÓN DEL COMPLEJO DEPORTIVO SECTOR LA ITALIA FASE 1 EN EL MUNICIPIO DE SANTA ROSA DE CABAL, RISARALDA</t>
  </si>
  <si>
    <t>SOLICITUD PRÓRROGA No.1 POR EL TÉRMINO DE TRES (3) MESES Y ADICIÓN DE RECURSOS POR SETENTA Y UN MILLONES OCHOCIENTOS CUATRO MIL CIENTO VEINTISIETE PESOS MCTE ($71.804.127) AL CONTRATO DE INTERVENTORÍA PAF-ATMINDEPORTE-I-092-2022 APROBADO EN EL COMITÉ TÉCNICO No. 176</t>
  </si>
  <si>
    <t>ADICION Y PRORROGA PARA EL CONTRATO DE REVISIÓN DE ESTUDIOS Y DISEÑOS Y LA INTERVENTORÍA INTEGRAL (ADMINISTRATIVA, FINANCIERA, CONTABLE, AMBIENTAL, SOCIAL, JURÍDICA Y TÉCNICA) PARA LA  CONSTRUCCIÓN DE ESCENARIO RECREODEPORTIVO CANCHA FÚTBOL 11, GRADERÍAS, CAMERINOS Y BATERÍA SANITARIA EN EL CORREGIMIENTO DE SAN BASILIO DE PALENQUE, MUNICIPIO DE MAHATES.</t>
  </si>
  <si>
    <t>SOLICITUD PRÓRROGA No.1 POR EL TÉRMINO DE TRES (3) MESES Y ADICIÓN DE RECURSOS POR CUARENTA Y DOS MILLONES DOSCIENTOS OCHENTA Y DOS MIL CIENTO OCHENTA Y SIETE PESOS CON CINCUENTA CENTAVOS M/CTE ($42.282.187,50) AL CONTRATO DE INTERVENTORÍA PAF-ATMINDEPORTE-I-025-2022 APROBADO EN EL COMITÉ TÉCNICO No. 176</t>
  </si>
  <si>
    <t>3m</t>
  </si>
  <si>
    <t>ADICION Y PRORROGA PARA EL CONTRATO DE REVISIÓN DE ESTUDIOS Y DISEÑOS Y “LA INTERVENTORÍA INTEGRAL (ADMINISTRATIVA, FINANCIERA, CONTABLE, AMBIENTAL, SOCIAL, JURÍDICA Y TÉCNICA) A LA CONSTRUCCIÓN DE INFRAESTRUCTURA III PARA EL MUNICIPIO DE GUTIÉRREZ” LOTE 1 CONSTRUCCIÓN DEL POLIDEPORTIVO CUBIERTO DE LA ESCUELA POLICARPA SALAVARRIETA DEL MUNICIPIO DE GUTIÉRREZ CUNDINAMARCA SEGÚN CONVENIO COID-1264-2021</t>
  </si>
  <si>
    <t>SOLICITUD PRÓRROGA POR EL TÉRMINO DE DOS (02) MESES Y ADICIÓN DE RECURSOS POR VALOR DE VEINTIDOS MILLONES DOS MIL TRESCIENTOS CUARENTA Y OCHO PESOS M/CTE ($22.002.348) AL CONTRATO No 3-1-102452-COI-1364-56 (PAF-ATMINDEPORTE-I-085-2022) APROBADO EN EL COMITÉ TÉCNICO No. 179</t>
  </si>
  <si>
    <t>ADICION Y PRORROGA PARA EL CONTRATO DE REVISIÓN DE ESTUDIOS Y DISEÑOS Y LA “INTERVENTORÍA INTEGRAL (ADMINISTRATIVA, FINANCIERA, CONTABLE, AMBIENTAL, SOCIAL, JURÍDICA Y TÉCNICA) PARA LA CONSTRUCCIÓN DE LA CANCHA CUBIERTA EN EL CORREGIMIENTO DE BORAUDO – LLORÓ – DEPARTAMENTO DEL CHOCÓ</t>
  </si>
  <si>
    <t>SOLICITUD PRÓRROGA No 1 POR EL TÉRMINO DE UN (01) MES Y ADICIÓN POR VALOR DE $ 11.125.025,00 DEL CONTRATO DE INTERVENTORÍA NO. NO. 3-1-102452-COI-1364-25 (PAF-ATMINDEPORTE-I-068-2022) APROBADO EN EL COMITÉ TÉCNICO No. 179</t>
  </si>
  <si>
    <t>ADICION Y PRORROGA PARA EL CONTRATO DE REVISIÓN A ESTUDIOS Y DISEÑOS Y LA INTERVENTORÍA INTEGRAL (ADMINISTRATIVA, FINANCIERA, CONTABLE, AMBIENTAL, SOCIAL, JURÍDICA Y TÉCNICA) A LA CONSTRUCCIÓN DEL PROYECTO DENOMINADO “CONSTRUCCIÓN DE ESTADIO DE SOFTBOL EN EL MUNICIPIO DE CLEMENCIA, DEPARTAMENTO DE BOLIVAR "</t>
  </si>
  <si>
    <t>SOLICITUD DE PRÓRROGA NO.2 POR EL TÉRMINO DE UN (1) MES Y QUINCE (15) DÍAS CALENDARIO, Y ADICIÓN DE RECURSOS POR VEINTINUEVE MILLONES TRESCIENTOS MIL SETECIENTOS SETENTA Y UN PESOS M/CTE ($ 29.300.771) AL CONTRATO DE INTERVENTORÍA PAF-ATMINDEPORTE-I-050-2022 APROBADO EN EL COMITÉ TÉCNICO No 182</t>
  </si>
  <si>
    <t>45d</t>
  </si>
  <si>
    <t>ADICION Y PRORROGA PARA EL CONTRATO DE REVISIÓN DE ESTUDIOS Y DISEÑOS Y LA “INTERVENTORÍA INTEGRAL (ADMINISTRATIVA, FINANCIERA, CONTABLE, AMBIENTAL, SOCIAL, JURÍDICA Y TÉCNICA) A LA CONSTRUCCION Y ADECUACIÓN DE LA UNIDAD RECREODEPORTIVA DEL BARRIO HATILLO, EN EL MUNICIPIO DE HELICONIA".</t>
  </si>
  <si>
    <t>SOLICITUD DE PRÓRROGA NO. 1 POR UN TÉRMINO DE DOS (02) MESES Y QUINCE (15) DÍAS CALENDARIO Y LA ADICIÓN NO. 1 POR UN VALOR DE DOCE MILLONES DE PESOS M/CTE ($ 12.000.000,00), AL CONTRATO DE INTERVENTORÍA NO. 3-1-102452-COI-1364-26 (PAF-ATMINDEPORTE-I-019-2022) APROBADO EN EL COMITÉ TÉCNICO NO. 182</t>
  </si>
  <si>
    <t>Municipio de Heliconia</t>
  </si>
  <si>
    <t>La presente solicitud de adición de recursos se da en el marco del Convenio Interadministrativo No 0042 de 2023 suscrito entre el municipio de HELICONIA y Findeter, establece que el municipio asumirá el costo por valor de $12.000.000 por la prórroga de dos (2) meses al contrato de interventoría PAF-ATMINDEPORTE-I-019-2022, por lo tanto, el valor del contrato de interventoría asciende a la suma de $225.783.500, en concordancia con la cláusula cuarta parágrafo primero del contrato de prestación de servicios de Asistencia Técnica y Administración de Recursos No. COI-1364-2021 celebrado entre el Ministerio del Deporte y Findeter.</t>
  </si>
  <si>
    <t>ADICION Y PRORROGA PARA EL CONTRATO DE REVISIÓN A ESTUDIOS Y DISEÑOS Y LA INTERVENTORÍA INTEGRAL (ADMINISTRATIVA, FINANCIERA, CONTABLE, AMBIENTAL, SOCIAL, JURÍDICA Y TÉCNICA) A LA CONSTRUCCIÓN DE UNA CANCHA DE FUTBOL EN EL CORREGIMIENTO DE GUAQUIRÍ DEL MUNICIPIO DE PEDRAZA, MAGDALENA"</t>
  </si>
  <si>
    <t>SOLICITUD DE PRORROGA NO. 1 ", POR EL TÉRMINO DE DOS (2) MESES Y QUINCE (15) DÍAS Y ADICIÓN POR UN VALOR DE TREINTA Y NUEVE MILLONES TRESCIENTOS NOVENTA Y DOS MIL SETECIENTOS DIECISEIS PESOS ($39.392.716) AL CONTRATO DE INTERVENTORÍA 3-1-102452-COI-1364-41 (PAF-ATMINDEPORTE-I-078-2022) APROBADO EN EL COMITÉ TÉCNICO NO. 182</t>
  </si>
  <si>
    <t>51d+1m+1m+1m+2m15d+1m</t>
  </si>
  <si>
    <t>ADICION Y PRORROGA PARA EL CONTRATO DE REVISIÓN DE ESTUDIOS Y DISEÑOS Y LA “INTERVENTORÍA INTEGRAL (ADMINISTRATIVA, FINANCIERA, CONTABLE, AMBIENTAL, SOCIAL, JURÍDICA Y TÉCNICA) PARA LA CONSTRUCCIÓN DE PARQUE RECREATIVO EN EL CORREGIMIENTO DE BELÉN, JURISDICCIÓN DEL MUNICIPIO DE SAN MARCOS – SUCRE."</t>
  </si>
  <si>
    <t>SOLICITUD DE PRÓRROGA POR EL TÉRMINO DE UN MES (01) Y QUINCE (15) DÍAS Y LA ADICIÓN POR UN VALOR DE DIECISÉIS MILLONES SEISCIENTOS OCHENTA Y CUATRO MIL NOVECIENTOS VEINTE PESOS ($16.684.920,00) M/CTE AL CONTRATO NO. 3-1-102452-COI-1364-53 (PAF-ATMINDEPORTE-I-066-2022) APROBADO EN EL COMITÉ TÉCNICO NO. 182</t>
  </si>
  <si>
    <t>ADICION Y PRORROGA PARA EL CONTRATO DE REVISIÓN DE ESTUDIOS Y DISEÑOS Y LA “INTERVENTORÍA INTEGRAL (ADMINISTRATIVA, FINANCIERA, CONTABLE, AMBIENTAL, SOCIAL, JURÍDICA Y TÉCNICA)“MEJORAMIENTO DE LAS CONDICIONES DE FUNCIONAMIENTO, CAPACIDAD Y COBERTURA DEL ESCENARIO RECREATIVO Y DEPORTIVO MUNICIPAL JUAN PABLO SEGUNDO, MUNICIPIO DE NARIÑO, DEPARTAMENTO DE NARIÑO”</t>
  </si>
  <si>
    <t>SOLICITUD PRÓRROGA No 1 POR EL TÉRMINO DE CUATRO (04) MESES Y ADICIÓN DE RECURSOS POR VALOR DE $ 290.659.296,00 DEL CONTRATO DE INTERVENTORÍA No. PAF-ATMINDEPORTE-I-017-2022</t>
  </si>
  <si>
    <t>Ministerio del deporte</t>
  </si>
  <si>
    <t>4m</t>
  </si>
  <si>
    <t>25d+20d+15d+15d+15d+1m</t>
  </si>
  <si>
    <t>INTERVENTORÍA TÉCNICA, ADMINISTRATIVA, FINANCIERA, CONTABLE, AMBIENTAL, SOCIAL Y JURÍDICA PARA LA EJECUCIÓN DEL PROYECTO DENOMINADO “CONTRUCCION Y DOTACION DE PLACA POLIDEPORTIVA CUBIERTA EN YUTO, MUNICIPIO DE ATRATO”</t>
  </si>
  <si>
    <t>PAF-ATMINDEPORTE-I-038-2023</t>
  </si>
  <si>
    <t>3-1-102452-COI-1364-98</t>
  </si>
  <si>
    <t>9m</t>
  </si>
  <si>
    <t>INTERVENTORÍA TÉCNICA, ADMINISTRATIVA, FINANCIERA, CONTABLE, AMBIENTAL, SOCIAL Y JURÍDICA PARA LA EJECUCIÓN DEL PROYECTO DENOMINADO “CONTRUCCION PLACA POLIDEPORTIVA EN LA COMUNIDAD INDÍGENA SABALETA DEL MUNICIPIO EL CARMEN DE ATRATO, CHOCÓ”</t>
  </si>
  <si>
    <t>EL CARMEN DE ATRATO</t>
  </si>
  <si>
    <t>PAF-ATMINDEPORTE-I-037-2023</t>
  </si>
  <si>
    <t>3-1-102452-COI-1364-99</t>
  </si>
  <si>
    <t>ADICIÓN Y PRÓRROGA PARA EL CONTRATO DE LA REVISIÓN DE ESTUDIOS Y DISEÑOS Y LA “INTERVENTORÍA INTEGRAL (ADMINISTRATIVA, FINANCIERA, CONTABLE, AMBIENTAL, SOCIAL, JURÍDICA Y TÉCNICA) A LA CONSTRUCCIÓN DE LA PISTA DE CICLOMONTAÑISMO Y SENDERISMO DE MIRAMAR BARRANQUILLA.”</t>
  </si>
  <si>
    <t>SOLICITUD ADICIÓN N° 01 POR VALOR DE TRESCIENTOS CUARENTA Y OCHO MILLONES SETECIENTOS SESENTA Y NUEVE MIL NOVECIENTOS SESENTA PESOS M/CTE ($ 348.769.960,00) Y PRÓRROGA N° 02 POR EL TÉRMINO DE CUATRO (04) MESES Y NUEVE (9) DÍAS CALENDARIO, CONTADOS A PARTIR DEL 21 DE AGOSTO AL 30 DE DICIEMBRE DE 2023 DEL CONTRATO DE INTERVENTORÍA NO. 3-1-102452-COI-1364-03 (PAF-ATMINDEPORTE-I-010-2022)</t>
  </si>
  <si>
    <t>4m9d</t>
  </si>
  <si>
    <t>1m(28di-28ene)</t>
  </si>
  <si>
    <t>ADICIÓN Y PRORROGA PARA EL CONTRATO DE REVISIÓN DE ESTUDIOS Y DISEÑOS Y LA “INTERVENTORÍA INTEGRAL (ADMINISTRATIVA, FINANCIERA, CONTABLE, AMBIENTAL, SOCIAL, JURÍDICA Y TÉCNICA) PARA LA CONSTRUCCIÓN PARQUE CATALINO VARELA MUNICIPIO PALMAR DE VARELA, DEPARTAMENTO DEL ATLÁNTICO”</t>
  </si>
  <si>
    <t>SOLICITUD DE PRÓRROGA NO. 1 POR CUATRO (4) MESES DEL 28/07/2023 AL 28/11/2023, Y ADICIÓN NO. 1 POR $51.539.713 (CON CARGO A LOS RECURSOS DEL CONVENIO NO. 012 DE 2023 ENTRE EL MUNICIPIO DE PALMAR DE VARELA Y FINDETER)</t>
  </si>
  <si>
    <t>2023.CEN.01.000349</t>
  </si>
  <si>
    <t>Municipio Palmar de Varela</t>
  </si>
  <si>
    <t>La presente solicitud de adición de recursos se da en el marco del Convenio Interadministrativo No 0012 de 2023 suscrito entre el municipio de PALMAR DE vARELA y Findeter, establece que el municipio asumirá el costo por valor de $51.539.713 por la prórroga de cuatro (4) meses al contrato de interventoría PAF-ATMINDEPORTE-I-049-2022, por lo tanto, el valor del contrato de interventoría asciende a la suma de $276.719.376, en concordancia con la cláusula cuarta parágrafo primero del contrato de prestación de servicios de Asistencia Técnica y Administración de Recursos No. COI-1364-2021 celebrado entre el Ministerio del Deporte y Findeter.</t>
  </si>
  <si>
    <t>ADICIÓN Y PRÓRROGA PARA EL CONTRATO DE OBRA DEL PROYECTO EN LA ETAPA 1 QUE TIENE POR OBJETO CONTRACTUAL REVISIÓN, AJUSTE Y COMPLEMENTACIÓN DE ESTUDIOS Y DISEÑOS Y CONSTRUCCIÓN DE CANCHAS DE SQUASH EN EL BARRIO CIUDADELA REAL DE MINAS DEL MUNICIPIO DE BUCARAMANGA, SANTANDER</t>
  </si>
  <si>
    <t>SOLICITUD DE ADICIÓN No. 1 AL CONTRATO DE OBRA NO. 3-1-102452-COI-1364-84 (PAF-ATMINDEPORTE-O-117-2022) POR VALOR $120,159,095  POR ITEMS NO PREVISTOS.</t>
  </si>
  <si>
    <t>ADICIÓN Y PRÓRROGA PARA EL CONTRATO DE OBRA DE REVISIÓN, AJUSTES Y COMPLEMENTACIÓN DE ESTUDIOS Y DISEÑOS, CONSTRUCCIÓN DE CUBIERTA Y OBRAS COMPLEMENTARIAS PARA EL POLIDEPORTIVO BARRIO CÁLAMO CALLE 9 #13 - 42 PRIMERA ETAPA MUNICIPIO DE PITALITO- HUILA</t>
  </si>
  <si>
    <t xml:space="preserve">HUILA </t>
  </si>
  <si>
    <t xml:space="preserve">SOLICTUD DE ADICIÓN AL CONTRATO DE OBRA No. 3-1-102452-COI-1364-80 (PAF-ATMINDEPORTE-O-108-2022)  POR UN VALOR DE CINCUENTA Y DOS MILLONES DOSCIENTOS CINCUENTA Y SEIS MIL NOVECIENTOS OCHENTA Y CINCO PESOS M/CTE ($52.256.985). </t>
  </si>
  <si>
    <t>SOLICITUD DE ADICIÓN No. 1 AL CONTRATO DE OBRA NO. 3-1-102452-COI-1364-84 (PAF-ATMINDEPORTE-O-117-2022) POR VALOR $120,159,995  POR ITEMS NO PREVISTOS.</t>
  </si>
  <si>
    <t>20d+1m+1m</t>
  </si>
  <si>
    <t>ADICIÓN Y PRÓRROGA PARA EL CONTRADO DE LA REVISIÓN DE ESTUDIOS Y DISEÑOS Y LA “INTERVENTORÍA INTEGRAL (ADMINISTRATIVA, FINANCIERA, CONTABLE, AMBIENTAL, SOCIAL, JURÍDICA Y TÉCNICA) PARA LA CONSTRUCCIÓN DE ESCENARIO DEPORTIVO CANCHA SINTÉTICA EN PIE DE PATÓ CABECERA MUNICIPAL DEL MUNICIPIO DE ALTO BAUDÓ – DEPARTAMENTO DEL CHOCÓ"</t>
  </si>
  <si>
    <t>SOLICITUD DE ADICIÓN NO. 1 POR $18.508.930,13, AL CONTRATO DE INTERVENTORÍA 3-1-102452-COI-1364-70 (PAF-ATMINDEPORTE-I-132-2022), DADA LA PRÓRROGA DEL MISMO POR UN (1) MES Y SEIS (6) DÍAS CALENDARIO DEL 24/08/2023 AL 30/09/2023.</t>
  </si>
  <si>
    <t>1m6d</t>
  </si>
  <si>
    <t>ADICIÓN Y PRÓRROGA PARA EL CONTRATO DE REVISIÓN DE ESTUDIOS Y DISEÑOS Y LA “INTERVENTORÍA INTEGRAL (ADMINISTRATIVA, FINANCIERA, CONTABLE, AMBIENTAL, SOCIAL, JURÍDICA Y TÉCNICA) A LA CONSTRUCCION DE COMPLEJO DEPORTIVO NEPOMUCENO OSPINA EN LA CABECERA DEL MUNICIPIO DE SAN LUIS, TOLIMA".</t>
  </si>
  <si>
    <t>SOLICITUD DE PRÓRROGA NO. 1 POR EL TÉRMINO DE DOS (2) MESES Y ADICIÓN POR VALOR DE $143.932.885,95 AL CONTRATO DE INTERVENTORÍA NO. 3-1-102452-COI-1364-19 (PAF-ATMINDEPORTE-I-044-2022)</t>
  </si>
  <si>
    <t>INTERVENTORÍA INTEGRAL (TÉCNICA, ADMINISTRATIVA, FINANCIERA, CONTABLE, AMBIENTAL, SOCIAL Y JURÍDICA) PARA LA REVISIÓN DE ESTUDIOS Y DISEÑOS, DIAGNÓSTICO Y CONSTRUCCIÓN POLIDEPORTIVO DEL CORREGIMIENTO DE BALSAMO, MUNICIPIO DE CONCORDIA, DEPARTAMENTO DEL MAGDALENA</t>
  </si>
  <si>
    <t xml:space="preserve">CONCORDIA </t>
  </si>
  <si>
    <t>PAF-ATMINDEPORTE-I-048-2023</t>
  </si>
  <si>
    <t>3-1-102452-COI-1364-101</t>
  </si>
  <si>
    <t>22/09/2023</t>
  </si>
  <si>
    <t>INTERVENTORÍA INTEGRAL (TÉCNICA, ADMINISTRATIVA, FINANCIERA, CONTABLE, AMBIENTAL, SOCIAL Y JURÍDICA) PARA LA EJECUCIÓN DEL PROYECTO DENOMINADO "REVISIÓN, AJUSTE Y COMPLEMENTACIÓN DE ESTUDIOS Y DISEÑOS, Y, LA CONSTRUCCIÓN DE LA PLACA POLIDEPORTIVA CUBIERTA EN EL CORREGIMIENTO LA LOMA EN EL MUNICIPIO DE BOJAYÁ - DEPARTAMENTO DE CHOCÓ"</t>
  </si>
  <si>
    <t>PAF-ATMINDEPORTE-I-050-2023</t>
  </si>
  <si>
    <t>3-1-102452-COI-1364-100</t>
  </si>
  <si>
    <t>6m1m</t>
  </si>
  <si>
    <t>INTERVENTORÍA INTEGRAL (TÉCNICA, ADMINISTRATIVA, FINANCIERA, CONTABLE, AMBIENTAL, SOCIAL Y JURÍDICA) PARA LA EJECUCIÓN DEL PROYECTO DENOMINADO "REVISIÓN, AJUSTE Y COMPLEMENTACIÓN DE ESTUDIOS Y DISEÑOS Y CONSTRUCCIÓN DE LA PLACA POLIDEPORTIVA CUBIERTA EN LA COMUNIDAD INDÍGENA MONDÓ MONDOCITO EN EL MUNICIPIO DE TADÓ - DEPARTAMENTO DE CHOCÓ”</t>
  </si>
  <si>
    <t>PAF-ATMINDEPORTE-I-049-2023</t>
  </si>
  <si>
    <t>3-1-102452-COI-1364-102</t>
  </si>
  <si>
    <t>SOLICITUD DE PRORROGA No. 2 ", POR EL TÉRMINO DE UN (1) MES Y TRES (3) DÍAS Y ADICIÓN POR UN VALOR DE QUINCE MILLONES SETECIENTOS CINCUENTA Y SIETE MIL OCHENTAY SEIS PESOS CON 50 CENTAVOS ($15.757.086,50) AL CONTRATO DE INTERVENTORÍA 3-1-102452-COI-1364-41 (PAF-ATMINDEPORTE-I-078-2022) APROBADO EN EL COMITÉ TÉCNICO NO. 200</t>
  </si>
  <si>
    <t>1m3d o 18d</t>
  </si>
  <si>
    <t>1m+26d+1m+20d+31d+1m</t>
  </si>
  <si>
    <t>SOLICITUD DE PRÓRROGA POR EL TÉRMINO DE TRES (3) MESES Y ADICIÓN POR UN VALOR DE SETENTA Y CINCO MILLONES PESOS M/CTE ($75.000.000)  AL CONTRATO DE INTERVENTORÍA No. 3-1-102452-COI-1364-57 (PAF-ATMINDEPORTE-I-086-2022) APROBADO EN COMITÉ TÉCNICO 200</t>
  </si>
  <si>
    <t>Municipio Galapa</t>
  </si>
  <si>
    <t>La presente solicitud de adición de recursos se da en el marco del Convenio Interadministrativo No 0016 de 2023 suscrito entre el municipio de GALAPA y Findeter, establece que el municipio asumirá el costo por valor de $75.000.000 por la prórroga de tres (3) meses al contrato de interventoría PAF-ATMINDEPORTE-I-086-2022, por lo tanto, el valor del contrato de interventoría asciende a la suma de $337.306.305, en concordancia con la cláusula cuarta parágrafo primero del contrato de prestación de servicios de Asistencia Técnica y Administración de Recursos No. COI-1364-2021 celebrado entre el Ministerio del Deporte y Findeter.</t>
  </si>
  <si>
    <t>45d+45d+12d</t>
  </si>
  <si>
    <t>ADICIÓN Y PRORROGA 3 PARA EL CONTRATO DE INTERVENTORÍA No. 3-1-102452-COI-1364-29 (PAF-ATMINDEPORTE-I-075-2022) INTERVENTORÍA INTEGRAL (ADMINISTRATIVA, FINANCIERA, CONTABLE, AMBIENTAL, SOCIAL, JURÍDICA Y TÉCNICA) A LA ADECUACIÓN PISTA DE ATLETISMO ESTADIO PEDRO GRAJALES EN EL DISTRITO ESPECIAL DE CALI.</t>
  </si>
  <si>
    <t>SOLICITUD DE PRÓRROGA POR EL TÉRMINO DE UN (1) MES Y QUINCE (15) DÍAS Y ADICIÓN POR CUARENTA Y OCHO MILLONES QUINIENTOS CINCUENTA MIL PESOS M/CTE ($48.550.000,00) M/CTE AL CONTRATO DE INTERVENTORÍA NO. PAF-ATMINDEPORTE-I-075-2022 APROBADO EN COMITÉ TÉCNICO 203</t>
  </si>
  <si>
    <t>La presente solicitud de adición de recursos se da en el marco del Convenio Interadministrativo IND-22-4872 suscrito entre INDERVALLE y Findeter Otro sí 1, establece que INDERVALLE asumirá el costo por valor de $48.550.000 por la prórroga de un (1) mes y quince (15) días s al contrato de interventoría PAF-ATMINDEPORTE-I-075-2022, por lo tanto, el valor del contrato de interventoría asciende a la suma de $544.325.791, en concordancia con la cláusula cuarta parágrafo primero del contrato de prestación de servicios de Asistencia Técnica y Administración de Recursos No. COI-1364-2021 celebrado entre el Ministerio del Deporte y Findeter.</t>
  </si>
  <si>
    <t>ADICIÓN Y PRÓRROGA 2 AL CONTRATO DE LA REVISIÓN DE ESTUDIOS Y DISEÑOS Y LA INTERVENTORÍA INTEGRAL (ADMINISTRATIVA, FINANCIERA, CONTABLE, AMBIENTAL, SOCIAL, JURÍDICA Y TÉCNICA) A LA CONSTRUCCION DE CENTRO DE RECREACIÓN PARA LA ÓPTIMA REALIZACIÓN DEL DEPORTE EN EL MUNICIPIO DE VALENCIA, CÓRDOBA</t>
  </si>
  <si>
    <t>SOLICITUD: PRÓRROGA NO. 2 POR EL TÉRMINO DE DOS (2) MESES Y VEINTIOCHO (28) DÍAS CALENDARIO Y POR ENDE, LA ADICIÓN NO. 2 POR UN VALOR DE  CINCUENTA Y CUATRO MILLONES SETECIENTOS SESENTA Y UN MIL DOSCIENTOS TREINTA Y SEIS PESOS M/CTE. ($ 54.761.236,00) M/CTE AL CONTRATO NO. 3-1-102452-COI-1364-09 (PAF-ATMINDEPORTE-I-018-2022), APROBADO EN EL COMITÉ TÉCNICO No. 206</t>
  </si>
  <si>
    <t>La presente solicitud de adición de recursos se da en el marco del Convenio Interadministrativo CIA-002 DE 2023 suscrito entre el municipio de VALENCIA y Findeter , establece que INDERVALLE asumirá el costo por valor de $54.761.236 por la prórroga de cuatro (4) meses al contrato de interventoría PAF-ATMINDEPORTE-I-018-2022, por lo tanto, el valor del contrato de interventoría asciende a la suma de $434.351.951, en concordancia con la cláusula cuarta parágrafo primero del contrato de prestación de servicios de Asistencia Técnica y Administración de Recursos No. COI-1364-2021 celebrado entre el Ministerio del Deporte y Findeter.</t>
  </si>
  <si>
    <t>2m28d</t>
  </si>
  <si>
    <t>ADICIÓN Y PRÓRROGA No 2 DEL CONTRATO DE REVISIÓN A ESTUDIOS Y DISEÑOS Y LA INTERVENTORÍA INTEGRAL (ADMINISTRATIVA, FINANCIERA, CONTABLE, AMBIENTAL, SOCIAL, JURÍDICA Y TÉCNICA) AL MEJORAMIENTO DEL POLIDEPORTIVO DE LA CABECERA MUNICIPAL - OLAYA HERRERA - NARIÑO</t>
  </si>
  <si>
    <t>SOLICITUD DE ADICIÓN Y PRÓRROGA No. 02 DEL CONTRATO DE INTERVENTORÍA NO. 3-1-102452-COI-1364-23 (PAF-ATMINDEPORTE-I-023-2022) POR UN PLAZO DE DOS (02) MESES Y UNA ADICIÓN POR VALOR DE $24.368.158, APROBADO EN EL COMITÉ TÉCNICO No. 207</t>
  </si>
  <si>
    <t>ADICION No 2 Y PRORROGA No 3 PARA EL CONTRATO DE REVISIÓN A ESTUDIOS Y DISEÑOS Y LA INTERVENTORÍA INTEGRAL (ADMINISTRATIVA, FINANCIERA, CONTABLE, AMBIENTAL, SOCIAL, JURÍDICA Y TÉCNICA) PARA LA ADECUACIÓN DEL COMPLEJO DEPORTIVO SECTOR LA ITALIA FASE 1 EN EL MUNICIPIO DE SANTA ROSA DE CABAL, RISARALDA</t>
  </si>
  <si>
    <t>SOLICITUD: PRÓRROGA NO. 3 POR EL TÉRMINO DE DOS (2) MESES  Y ADICIÓN NO. 2 DE RECURSOS POR VALOR DE SESENTA MILLONES NOVECIENTOS UN MIL CUATROCIENTOS OCHENTA Y CINCO PESOS CON 45 CENTAVOS ($60.901.485,45) INCLUIDOS IVA Y DEMÁS IMPUESTOS A QUE HAYA LUGAR, AL CONTRATO NO. 3-1-102452-COI-1364-67 (PAF-ATMINDEPORTE-I-092-2022), APROBADO EN EL COMITÉ TÉCNICO No. 208</t>
  </si>
  <si>
    <t xml:space="preserve"> 1-50-40-63-01-00646</t>
  </si>
  <si>
    <t>Presupuesto municipal</t>
  </si>
  <si>
    <t>La presente solicitud de adición de recursos se da en el marco del Convenio Interadministrativo CI-403 DE 2023 suscrito entre el municipio de SANTA ROSA DE CABAL y Findeter , establece que elmunicipio asumirá el costo por valor de $60.901.485,45 por la prórroga de dos (2) meses al contrato de interventoría PAF-ATMINDEPORTE-I-092-2022, por lo tanto, el valor del contrato de interventoría asciende a la suma de $546.078.826,45, en concordancia con la cláusula cuarta parágrafo primero del contrato de prestación de servicios de Asistencia Técnica y Administración de Recursos No. COI-1364-2021 celebrado entre el Ministerio del Deporte y Findeter.</t>
  </si>
  <si>
    <t>ADICIÓN DE RECURSOS AL CONTRATO DE OBRA REVISIÓN AJUSTE Y COMPLEMENTACIÓN DE ESTUDIOS Y DISEÑOS Y CONSTRUCCIÓN DEL POLIDEPORTIVO CUBIERTO EN LA VEREDA SAN VICENTE DEL MUNICIPIO DE SAN LORENZO, NARIÑO</t>
  </si>
  <si>
    <t>SOLICITUD:  ADICIÓN DE RECURSOS POR VALOR DE CIENTO OCHENTA Y DOS MILLONES CUATROCIENTOS TREINTA Y UN MIL CIENTO NOVENTA Y NUEVE PESOS ($182.431.199,00) INCLUIDOS IVA Y DEMÁS IMPUESTOS A QUE HAYA LUGAR, AL CONTRATO NO. 3-1-102452-COI-1364-83 (PAF-ATMINDEPORTE-O-104-2022), APROBADO EN EL COMITÉ TÉCNICO No. 208</t>
  </si>
  <si>
    <t>ADICIÓN No 2 Y PRÓRROGA No 2 AL CONTRATO DE REVISIÓN DE ESTUDIOS Y DISEÑOS Y LA INTERVENTORÍA INTEGRAL (ADMINISTRATIVA, FINANCIERA, CONTABLE, AMBIENTAL, SOCIAL, JURÍDICA Y TÉCNICA) A LA CONSTRUCCIÓN DE CANCHA DE FÚTBOL EN EL CASCO URBANO DEL MUNICIPIO DE FRANCISCO PIZARRO, DEPARTAMENTO DE NARIÑO-ETAPA I</t>
  </si>
  <si>
    <t>SOLICITUD DE PRÓRROGA No 2 POR EL TÉRMINO DE DOS MES (02) Y POR ENDE, LA ADICIÓN NO 2 POR UN VALOR DE TREINTA Y NUEVE MILLONES NOVENTA Y TRES MIL TREINTA Y DOS PESOS ($ 39.093.032,00)  M/CTE AL CONTRATO NO. 3-1-102452-COI-1364-06 (PAF-ATMINDEPORTE-I-021-2022), APROBADO EN EL COMITÉ TÉCNICO No. 208</t>
  </si>
  <si>
    <t>1m+11d</t>
  </si>
  <si>
    <t>ADICIÓN Y PRÓRROGA No 2 PARA EL CONTRATO DE REVISIÓN DE ESTUDIOS Y DISEÑOS Y LA “INTERVENTORÍA INTEGRAL (ADMINISTRATIVA, FINANCIERA, CONTABLE, AMBIENTAL, SOCIAL, JURÍDICA Y TÉCNICA) A LA CONSTRUCCION DE COMPLEJO DEPORTIVO NEPOMUCENO OSPINA EN LA CABECERA DEL MUNICIPIO DE SAN LUIS, TOLIMA".</t>
  </si>
  <si>
    <t>SOLICITUD: PRÓRROGA NO. 2 POR EL TÉRMINO DE DOS (2) MESES  Y ADICIÓN NO. 2 DE RECURSOS POR VALOR DE CIENTO CUARENTA Y TRES MILLONES NOVECIENTOS TREINTA Y DOS MIL OCHOCIENTOS OCHENTA Y CINCO PESOS CON 95 CENTAVOS ($143.932.885,95) INCLUIDOS IVA Y DEMÁS IMPUESTOS A QUE HAYA LUGAR, AL CONTRATO NO. 3-1-102452-COI-1364-19 (PAF-ATMINDEPORTE-I-044-2022), APROBADO EN EL COMITÉ TÉCNICO No. 208</t>
  </si>
  <si>
    <t>La presente solicitud de adición de recursos se da en el marco del Convenio Interadministrativo CI-0070 DE 2023 suscrito entre el municipio de SAN LUIS y Findeter , establece que el municipio asumirá el costo por valor de $143.932.885,95 por la prórroga de dos (2) meses al contrato de interventoría PAF-ATMINDEPORTE-I-044-2022, por lo tanto, el valor del contrato de interventoría asciende a la suma de $5####, en concordancia con la cláusula cuarta parágrafo primero del contrato de prestación de servicios de Asistencia Técnica y Administración de Recursos No. COI-1364-2021 celebrado entre el Ministerio del Deporte y Findeter.</t>
  </si>
  <si>
    <t>REVISIÓN, AJUSTE Y COMPLEMENTACIÓN DE ESTUDIOS Y DISEÑOS Y CONSTRUCCIÓN DE ESCENARIO RECREODEPORTIVO (FASE 1) EN LA CABECERA MUNICIPAL DEL MUNICIPIO DE EL MOLINO EN EL DEPARTAMENTO DE LA GUAJIRA</t>
  </si>
  <si>
    <t>EL MOLINO</t>
  </si>
  <si>
    <t>PAF-ATMINDEPORTE-O-067-2023</t>
  </si>
  <si>
    <t>3-1-102452-COI-1364-106</t>
  </si>
  <si>
    <r>
      <rPr>
        <sz val="10"/>
        <color rgb="FFFF0000"/>
        <rFont val="Arial Narrow"/>
        <family val="2"/>
      </rPr>
      <t xml:space="preserve">APREMIO 06/03/2025 </t>
    </r>
    <r>
      <rPr>
        <sz val="10"/>
        <color rgb="FF000000"/>
        <rFont val="Arial Narrow"/>
        <family val="2"/>
      </rPr>
      <t>REVISIÓN, AJUSTE Y COMPLEMENTACIÓN DE ESTUDIOS Y DISEÑOS Y, LA CONSTRUCCIÓN DEL PARQUE RECREO-DEPORTIVO UBICADO EN EL CORREGIMIENTO DE SABANAS, JURISDICCIÓN DEL MUNICIPIO EL PIÑÓN, DEPARTAMENTO DE MAGDALENA.</t>
    </r>
  </si>
  <si>
    <t>EL PIÑON</t>
  </si>
  <si>
    <t>PAF-ATMINDEPORTE-O-066-2023</t>
  </si>
  <si>
    <t>3-1-102452-COI-1364-107</t>
  </si>
  <si>
    <t>Apremio  inicia estudios 17/02/2025</t>
  </si>
  <si>
    <t>REVISIÓN, AJUSTE Y COMPLEMENTACIÓN DE ESTUDIOS Y DISEÑOS Y CONSTRUCCIÓN DE CANCHA POLIFUNCIONAL EN EL CENTRO POBLADO DE YARIMA EN EL MUNICIPIO DE SAN VICENTE DE CHUCURÍ, SANTANDER"</t>
  </si>
  <si>
    <t>SAN VICENTE DE CHUCURÍ</t>
  </si>
  <si>
    <t>PAF-ATMINDEPORTE-O-063-2023</t>
  </si>
  <si>
    <t>3-1-102452-COI-1364-109</t>
  </si>
  <si>
    <t>INTERVENTORÍA INTEGRAL (TÉCNICA, ADMINISTRATIVA, FINANCIERA, CONTABLE, AMBIENTAL, SOCIAL Y JURÍDICA) PARA LA REVISIÓN, AJUSTE Y COMPLEMENTACIÓN DE ESTUDIOS Y DISEÑOS Y CONSTRUCCIÓN DE CANCHA POLIFUNCIONAL EN EL CENTRO POBLADO DE YARIMA EN EL MUNICIPIO DE SAN VICENTE DE CHUCURÍ, SANTANDER</t>
  </si>
  <si>
    <t>PAF-ATMINDEPORTE-I-065-2023</t>
  </si>
  <si>
    <t>3-1-102452-COI-1364-105</t>
  </si>
  <si>
    <t>ADICIÓN Y PRÓRROGA 3 AL CONTRATO DE LA REVISIÓN DE ESTUDIOS Y DISEÑOS Y LA INTERVENTORÍA INTEGRAL (ADMINISTRATIVA, FINANCIERA, CONTABLE, AMBIENTAL, SOCIAL, JURÍDICA Y TÉCNICA) A LA CONSTRUCCIÓN DE PARQUE Y CANCHA RECREO-DEPORTIVA SEMILLAS DE FE EN EL MUNICIPIO DE SABANALARGA ATLÁNTICO</t>
  </si>
  <si>
    <t>SOLICITUD: PRÓRROGA NO. 3 POR EL TÉRMINO POR UN PLAZO DE TRES (03) MESES Y UN (01) DÍA CALENDARIO Y UN VALOR DE SETENTA Y CINCO MILLONES OCHOCIENTOS SESENTA MIL SEISCIENTOS DIEZ PESOS ($75.860.610,00) M/CTE,  AL CONTRATO NO. 3-1-102452-COI-1364-12 (PAF-ATMINDEPORTE-I-029-2022), CON CARGO AL CONVENIO INTERADMINISTRATIVO No 001-2023, APROBADO EN EL COMITÉ TÉCNICO No. 210</t>
  </si>
  <si>
    <t>2023.IAC.02.000179</t>
  </si>
  <si>
    <t>MUNICIPIO DE SABANALARGA</t>
  </si>
  <si>
    <t>La presente solicitud de adición de recursos se da en el marco del Convenio Interadministrativo CI-001 DE 2023 suscrito entre el municipio de SABANALARGA y Findeter , establece que el municipio asumirá el costo por valor de $75.860.610 por la prórroga de tres (3) meses  un (1) día al contrato de interventoría PAF-ATMINDEPORTE-I-029-2022, por lo tanto, el valor del contrato de interventoría asciende a la suma de $379.402.878, en concordancia con la cláusula cuarta parágrafo primero del contrato de prestación de servicios de Asistencia Técnica y Administración de Recursos No. COI-1364-2021 celebrado entre el Ministerio del Deporte y Findeter.</t>
  </si>
  <si>
    <t>ADICIÓN Y PRÓRROGA 1 AL CONTRATO DE REVISIÓN, AJUSTE Y COMPLEMENTACIÓN DE ESTUDIOS Y DISEÑOS Y CONSTRUCCIÓN DE LA CANCHA MÚLTIPLE CUBIERTA VEREDA LA MORITA MUNICIPIO DE TRINIDAD, DEPARTAMENTO DE CASANARE</t>
  </si>
  <si>
    <t>SOLICITUD: PRÓRROGA NO. 1 POR EL TÉRMINO POR UN PLAZO DE UN (01) MES Y ADICIÓN DE RECURSOS POR VALOR DE TRECE MILLONES DOSCIENTOS NUEVE MIL SETECIENTOS SETENTA Y SEIS PESOS CON CINCUENTA CENTAVOS ($13.209.776,50) AL CONTRATO DE INTERVENTORÍA NO. 3-1-102452-COI-1364-74 (PAF-ATMINDEPORTE-I-189-2022), APROBADO EN EL COMITÉ TÉCNICO No. 210</t>
  </si>
  <si>
    <t xml:space="preserve">INTERVENTORÍA INTEGRAL (TÉCNICA, ADMINISTRATIVA, FINANCIERA, CONTABLE, AMBIENTAL, SOCIAL Y JURÍDICA) PARA LA REVISIÓN, AJUSTE Y COMPLEMENTACIÓN DE ESTUDIOS Y DISEÑOS Y CONSTRUCCIÓN Y ADECUACIÓN DE ESCENARIO RECREODEPORTIVO (FASE 1) EN LA CABECERA MUNICIPAL DEL MUNICIPIO DE EL MOLINO EN EL DEPARTAMENTO DE LA GUAJIRA. </t>
  </si>
  <si>
    <t>ESTUDIO PREVIO</t>
  </si>
  <si>
    <t>PAF-ATMINDEPORTE-I-070-2023</t>
  </si>
  <si>
    <t>3-1-102452-COI-1364-104</t>
  </si>
  <si>
    <t>INTERVENTORÍA INTEGRAL (TÉCNICA, ADMINISTRATIVA, FINANCIERA, CONTABLE, AMBIENTAL, SOCIAL Y JURÍDICA) PARA LA “REVISIÓN, AJUSTE Y COMPLEMENTACIÓN DE ESTUDIOS Y DISEÑOS Y, LA CONSTRUCCIÓN DEL PARQUE RECREO-DEPORTIVO UBICADO EN EL CORREGIMIENTO DE SABANAS, JURISDICCIÓN DEL MUNICIPIO EL PIÑON, DEPARTAMENTO DE MAGDALENA”.</t>
  </si>
  <si>
    <t xml:space="preserve">MAGDALENA  </t>
  </si>
  <si>
    <t xml:space="preserve">ESTUDIO PREVIO </t>
  </si>
  <si>
    <t>PAF-ATMINDEPORTE-I-069-2023</t>
  </si>
  <si>
    <t>3-1-102452-COI-1364-103</t>
  </si>
  <si>
    <t>ADICIÓN Y PRÓRROGA N. 2 A LA ETAPA II DEL CONTRATO 3-1-102452-COI-1364-71 (PAF-ATMINDEPORTE-I-051-2022) “REVISIÓN DE ESTUDIOS Y DISEÑOS Y LA “INTERVENTORÍA INTEGRAL (ADMINISTRATIVA, FINANCIERA, CONTABLE, AMBIENTAL, SOCIAL, JURÍDICA Y TÉCNICA) PARA LA ADECUA-CIÓN Y REMODELACIÓN DEL COMPLEJO POLIDEPORTIVO RAFAEL J. MEJÍA DEL MUNICIPIO DE TÁMESIS EN EL MARCO DEL CONVENIO NÚMERO COID-1223-2021”.</t>
  </si>
  <si>
    <t>COMITÉ TÉCNICO N° 218</t>
  </si>
  <si>
    <t>1m10d</t>
  </si>
  <si>
    <t>gavargas;</t>
  </si>
  <si>
    <t>ADICION Y PRORROGA 2 PARA EL CONTRATO DE DE INTERVENTORÍA 3-1-102452-COI-1364-56 (PAF-ATMINDEPORTE-I-085-2022) REVISIÓN DE ESTUDIOS Y DISEÑOS Y LA “INTERVENTORÍA INTEGRAL (ADMINISTRATIVA, FINANCIERA, CONTABLE, AMBIENTAL, SOCIAL, JURÍDICA Y TÉCNICA) A LA CONSTRUCCIÓN DE INFRAESTRUCTURA III PARA EL MUNICIPIO DE GUTIÉRREZ” LOTE 1 CONSTRUCCIÓN DEL POLIDEPORTIVO CUBIERTO DE LA ESCUELA POLICARPA SALAVARRIETA DEL MUNICIPIO DE GUTIÉRREZ CUNDINAMARCA SEGÚN CONVENIO COID-1264-2021.”</t>
  </si>
  <si>
    <t>Municipio de Gutierrez</t>
  </si>
  <si>
    <t>ADICIÓN  1 AL CONTRATO DE OBRA  3-1-102452-COI-1364-88 (PAF-ATMINDEPORTE-O-013-2023) “REVISIÓN, AJUSTE Y COMPLEMENTACIÓN DE ESTUDIOS Y DISEÑOS Y CONSTRUCCIÓN DEL COLISEO POLIDEPORTIVO Y RECREATIVO LA POLA EN EL MUNICIPIO DE LA CRUZ, DEPARTAMENTO DE NARIÑO”.</t>
  </si>
  <si>
    <t>ADICION AL CONTRATO 3-1-102452-COI-1364-46 PAF-ATMINDEPORTE-I-046-2022 “REVISIÓN DE ESTUDIOS Y DISEÑOS Y LA “INTERVENTORÍA INTEGRAL (ADMINISTRATIVA, FINANCIERA, CONTABLE, AMBIENTAL, SOCIAL, JURÍDICA Y TÉCNICA) AL MEJORAMIENTO Y ADECUACIÓN DE LA UNIDAD DEPORTIVA BERNARDO MESA ABADIA DE APIA, RISARALDA".</t>
  </si>
  <si>
    <t xml:space="preserve">RISARALDA </t>
  </si>
  <si>
    <t>COMITÉ TÉCNICO N° 219</t>
  </si>
  <si>
    <t>COMITÉ TÉCNICO N° 223</t>
  </si>
  <si>
    <t>*Se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de CIENTO TREINTA Y CUATRO MIL QUINIENTOS TREINTA Y TRES MILLONES TRESCIENTOS DOS MIL SEISCIENTOS CUARENTA Y DOS PESOS M/CTE. ($134.533.302.642).
*Se solicitó la anulación del CDR 186 el día de 17 de octubre de 2023, y se reemplaza con el presente CDR.</t>
  </si>
  <si>
    <t xml:space="preserve">ADICION AL CONTRATO 3-1-102452-COI-1364-54 PAF-ATMINDEPORTE-I-082-2022 "INTERVENTORIA INTEGRAL (ADMINISTRATIVA, FINANCIERA, CONTABLE, AMBIENTAL, SOCIAL, JURIDICA Y TECNICA) AL MEJORAMIENTO UNIDAD DEPORTIVA IVAN DUQUE ESCOBAR DEL MUNICIPIO DE GOMEZ PLATA" </t>
  </si>
  <si>
    <t>COMITÉ TÉCNICO N° 225</t>
  </si>
  <si>
    <t>00021,00496,00676</t>
  </si>
  <si>
    <t xml:space="preserve">Municipio Gomez Plata </t>
  </si>
  <si>
    <t>INTERVENTORIA INTEGRAL (TECNICA,ADMINISTRATIVA,FINANCIERA,CONTABLE, AMBIENTAL,SOCIAL,Y JURIDICA) PARA LA "REVISION, AJUSTE Y COMPLEMENTACION DE ESTUDIOS Y DISEÑOS Y, LA CONSTRUCCION DE CUBIERTA PARA PLACA POLIDEPORTIVA DE LA VEREDA LA PALMA DEL MUNICIPIO DE GIRARDOTA, DEPARTAMENTO DE ANTIOQUIA"</t>
  </si>
  <si>
    <t>GIRARDOTA</t>
  </si>
  <si>
    <t xml:space="preserve">*Se realiza esta solicitud en el marco del contrato de prestación de servicios de Asistencia Técnica y Administración de Recursos No. COI-1364-2021 celebrado entre el Ministerio del Deporte quien actúa a través de Fiduciaria BBVA S.A. en calidad de vocera y administradora – y Findeter, por valor actual de CIENTO SETENTA Y OCHO MIL SEISCIENTOS TREINTA Y TRES MILLONES CUATROCIENTOS CINCUENTA MIL SEISCIENTOS OCHENTA Y TRES  PESOS M/CTE. ($178.633.450.683).
</t>
  </si>
  <si>
    <t>PAF-ATMINDEPORTE-I-103-2023</t>
  </si>
  <si>
    <t>3-1-102452-COI-1364-108</t>
  </si>
  <si>
    <t>REVISION, AJUSTE Y COMPLEMENTACION DE ESTUDIOS Y DISEÑOS Y, LA CONSTRUCCION DE CUBIERTA PARA PLACA POLIDEPORTIVA DE LA VEREDA LA PALMA DEL MUNICIPIO DE GIRARDOTA, DEPARTAMENTO DE ANTIOQUIA</t>
  </si>
  <si>
    <t>PAF-ATMINDEPORTE-O-108-2023</t>
  </si>
  <si>
    <t>3-1-102452-COI-1364-110</t>
  </si>
  <si>
    <t>CONSORCIO JGK</t>
  </si>
  <si>
    <t>ADICION Y PRORROGA No 2 AL CONTRATO  “REVISIÓN DE ESTUDIOS Y DISEÑOS Y LA “INTERVENTORÍA INTEGRAL (ADMINISTRATIVA, FINANCIERA, CONTABLE, AMBIENTAL, SOCIAL, JURÍDICA Y TÉCNICA) PARA LA CONSTRUCCIÓN PARQUE CATALINO VARELA MUNICIPIO PALMAR DE VARELA, DEPARTAMENTO DEL ATLÁNTICO." </t>
  </si>
  <si>
    <t>ATLANTICO</t>
  </si>
  <si>
    <t>PRÓRROGA No. 2 POR DOS (2) MESES DEL 24/11/2023 AL 24/01/2024 Y ADICIÓN NO. 2 POR QUINCE (15) MILLONES DE PESOS - PALMAR DE VARELA CONTRATO NO. PAF-ATMINDEPORTE-I-049-2022, APROBADO EN EL COMITÉ TECNICO NO 228</t>
  </si>
  <si>
    <t>2023.CEN.01.000398</t>
  </si>
  <si>
    <t>MUNICIPIO DE PALMAR DE VARELA</t>
  </si>
  <si>
    <t>La presente solicitud de adición de recursos se da en el marco del Convenio Interadministrativo No 0012 de 2023 suscrito entre el municipio de PALMAR DE VARELA y Findeter y el otrosí 1, establece que el municipio asumirá el costo por valor de $15.000.000 por la prórroga de dos (2) meses al contrato de interventoría PAF-ATMINDEPORTE-I-049-2022, por lo tanto, el valor del contrato de interventoría asciende a la suma de $241.719.376, en concordancia con la cláusula cuarta parágrafo primero del contrato de prestación de servicios de Asistencia Técnica y Administración de Recursos No. COI-1364-2021 celebrado entre el Ministerio del Deporte y Findeter.</t>
  </si>
  <si>
    <t>23d+10d</t>
  </si>
  <si>
    <t>ADICION Y PRORROGA No 3 DEL CONTRATO DE REVISIÓN DE ESTUDIOS Y DISEÑOS Y LA INTERVENTORÍA INTEGRAL (ADMINISTRATIVA, FINANCIERA, CONTABLE, AMBIENTAL, SOCIAL, JURÍDICA Y TÉCNICA) A LA CONSTRUCCION DE COMPLEJO DEPORTIVO NEPOMUCENO OSPINA EN LA CABECERA DEL MUNICIPIO DE SAN LUIS, TOLIMA</t>
  </si>
  <si>
    <t>ADICIÓN POR UN VALOR DE $ 88.000.000,00 Y PRÓRROGA NO. 03 POR UN PLAZO DE DOS (02) MESES DEL CONTRATO DE INTERVENTORÍA NO. 3-1-102452-COI-1364-19 (PAF-ATMINDEPORTE-I-044-2022) CON CARGO AL CONVENIO INTERADMINISTRATIVO NO. 0070 DE 2023, CELEBRADO ENTRE LA FINANCIERA DEL DESARROLLO TERRITORIAL S.A. - FINDETER Y EL MUNICIPIO DE SAN LUIS (TOLIMA) APROBADO EN EL COMITÉ TÉCNICO NO 228</t>
  </si>
  <si>
    <t>MUNICIPIO DE SAN LUIS</t>
  </si>
  <si>
    <t>La presente solicitud de adición de recursos se da en el marco del Convenio Interadministrativo CI-0070 DE 2023 suscrito entre el municipio de SAN LUIS y Findeter y su otrosí 1 , establece que el municipio asumirá el costo por valor de $88.000.000 por la prórroga de dos (2) meses al contrato de interventoría PAF-ATMINDEPORTE-I-044-2022, por lo tanto, el valor del contrato de interventoría asciende a la suma de $851.563.208,7, en concordancia con la cláusula cuarta parágrafo primero del contrato de prestación de servicios de Asistencia Técnica y Administración de Recursos No. COI-1364-2021 celebrado entre el Ministerio del Deporte y Findeter.</t>
  </si>
  <si>
    <t>ADICION Y PRORROGA No 4 DEL CONTRATO DE REVISIÓN DE ESTUDIOS Y DISEÑOS Y LA INTERVENTORÍA INTEGRAL (ADMINISTRATIVA, FINANCIERA, CONTABLE, AMBIENTAL, SOCIAL, JURÍDICA Y TÉCNICA) A LA CONSTRUCCION DE COMPLEJO DEPORTIVO NEPOMUCENO OSPINA EN LA CABECERA DEL MUNICIPIO DE SAN LUIS, TOLIMA</t>
  </si>
  <si>
    <t>ADICIÓN POR UN VALOR DE $ 44.000.000,00 Y PRÓRROGA NO. 04 POR UN PLAZO DE UN (01) MESES DEL CONTRATO DE INTERVENTORÍA NO. 3-1-102452-COI-1364-19 (PAF-ATMINDEPORTE-I-044-2022) CON CARGO AL CONVENIO INTERADMINISTRATIVO NO. 0070 DE 2023, CELEBRADO ENTRE LA FINANCIERA DEL DESARROLLO TERRITORIAL S.A. - FINDETER Y EL MUNICIPIO DE SAN LUIS (TOLIMA) APROBADO EN EL COMITÉ TÉCNICO No 237</t>
  </si>
  <si>
    <t>La presente solicitud de adición de recursos se da en el marco del Convenio Interadministrativo CI-0070 DE 2023 suscrito entre el municipio de SAN LUIS y Findeter y su otrosí 2 , establece que el municipio asumirá el costo por valor de $44.000.000 por la prórroga de un (1) mes al contrato de interventoría PAF-ATMINDEPORTE-I-044-2022, por lo tanto, el valor del contrato de interventoría asciende a la suma de $895.563.208,7, en concordancia con la cláusula cuarta parágrafo primero del contrato de prestación de servicios de Asistencia Técnica y Administración de Recursos No. COI-1364-2021 celebrado entre el Ministerio del Deporte y Findeter.</t>
  </si>
  <si>
    <t>ADICION Y PRORROGA 2 PARA EL CONTRATO DE REVISIÓN DE ESTUDIOS Y DISEÑOS Y LA “INTERVENTORÍA INTEGRAL (ADMINISTRATIVA, FINANCIERA, CONTABLE, AMBIENTAL, SOCIAL, JURÍDICA Y TÉCNICA)“MEJORAMIENTO DE LAS CONDICIONES DE FUNCIONAMIENTO, CAPACIDAD Y COBERTURA DEL ESCENARIO RECREATIVO Y DEPORTIVO MUNICIPAL JUAN PABLO SEGUNDO, MUNICIPIO DE NARIÑO, DEPARTAMENTO DE NARIÑO”</t>
  </si>
  <si>
    <t xml:space="preserve">NARIÑO </t>
  </si>
  <si>
    <t>ADICIÓN DE RECURSOS POR VALOR DE $ 108.997.236 ,00 Y PRÓRROGA POR EL TÉRMINO DE TRES (03) MESES Y DIEZ (10) DÍAS CONTADOS A PARTIR DEL 9 DE ENERO DE 2024 DEL CONTRATO DE INTERVENTORÍA No. PAF-ATMINDEPORTE-I-017-2022 APROBADO EN EL COMITÉ TÉCNICO No 237</t>
  </si>
  <si>
    <t>3m10d</t>
  </si>
  <si>
    <t>19feb-19abr</t>
  </si>
  <si>
    <t>ADICION Y PRORROGA 2 PARA EL CONTRATO DE REVISIÓN DE ESTUDIOS Y DISEÑOS Y LA “INTERVENTORÍA INTEGRAL (ADMINISTRATIVA, FINANCIERA, CONTABLE, AMBIENTAL, SOCIAL, JURÍDICA Y TÉCNICA) PARA LA CONSTRUCCIÓN DE PARQUE RECREATIVO EN EL CORREGIMIENTO DE BELÉN, JURISDICCIÓN DEL MUNICIPIO DE SAN MARCOS – SUCRE."</t>
  </si>
  <si>
    <t>ADICIÓN No. 2 POR UN VALOR DE VEINTICUATRO MILLONES TRESCIENTOS VEINTISÉIS MIL NUEVE PESOS ($ 24.326.009,00) M/CTE Y PRÓRROGA POR UN PLAZO DE UN (01) MES Y DIECINUEVE (19) DÍAS, AL CONTRATO DE INTERVENTORIA No. 3-1-102452 COI-1364-53 (PAF-ATMINDEPORTE-I-066-2022)  APROBADO EN EL COMITÉ TÉCNICO No 237</t>
  </si>
  <si>
    <t>2023.CEN.01.000266</t>
  </si>
  <si>
    <t>MUNICIPIO DE SAN MARCOS</t>
  </si>
  <si>
    <t>La presente solicitud de adición de recursos se da en el marco del Convenio Interadministrativo CI-0071 DE 2023 suscrito entre el municipio de San Marcos y Findeter , establece que el municipio asumirá el costo por valor de $24.326.009 por la prórroga de un (1) mes y diez (10) días al contrato de interventoría PAF-ATMINDEPORTE-I-066-2022, por lo tanto, el valor del contrato de interventoría asciende a la suma de $205.956.509, en concordancia con la cláusula cuarta parágrafo primero del contrato de prestación de servicios de Asistencia Técnica y Administración de Recursos No. COI-1364-2021 celebrado entre el Ministerio del Deporte y Findeter.</t>
  </si>
  <si>
    <t>1m19d</t>
  </si>
  <si>
    <t>PRORROGA Y ADICIÓN No 2 AL CONTRATO DE OBRA DE LA REVISIÓN, AJUSTES Y COMPLEMENTACIÓN DE ESTUDIOS Y DISEÑOS, CONSTRUCCIÓN DE CUBIERTA Y OBRAS COMPLEMENTARIAS PARA EL POLIDEPORTIVO BARRIO CÁLAMO CALLE 9 #13 - 42 PRIMERA ETAPA MUNICIPIO DE PITALITO- HUILA</t>
  </si>
  <si>
    <t xml:space="preserve"> HUILA </t>
  </si>
  <si>
    <t>SOLICITUD DE PRORROGA NO 1  POR UN TÉRMINO DE VEINTE (20) DIAS CALENDARIO Y ADICIÓN NO 2 Y UN VALOR CIENTO SESENTA Y SEIS MILLONES CUATROCIENTOS SESENTA Y SEIS MIL SETECIENTOS ONCE PESOS M/CTE ($166.466.711)AL CONTRATO DE OBRA No 3-1-102452-COI-1364-80 (PAF-ATMINDEPORTE-O-108-2022)  APROBADO EN EL COMITÉ TÉCNICO No . 237</t>
  </si>
  <si>
    <t>PRÓRROGA Y ADICIÓN No 1 AL CONTRATO DE  INTERVENTORÍA INTEGRAL (TÉCNICA, ADMINISTRATIVA, FINANCIERA, CONTABLE,  AMBIENTAL, SOCIAL Y JURÍDICA) PARA LA REVISIÓN, AJUSTES Y  COMPLEMENTACIÓN DE ESTUDIOS Y DISEÑOS, CONSTRUCCIÓN DE CUBIERTA Y OBRAS COMPLEMENTARIAS PARA EL POLIDEPORTIVO BARRIO CALAMO CALLE 9   #13-42 PRIMERA ETAPA MUNICIPIO DE PITALITO- HUILA</t>
  </si>
  <si>
    <t>SOLICITUD DE PRÓRROGA No 1 POR UN TÉRMINO DE VEINTE (20) DIAS CALENDARIO Y ADICIÓN No 1 POR UN VALOR DE VEINTITRÉS MILLONES OCHOCIENTOS OCHENTA Y SEIS MIL OCHOCIENTOS TREINTA Y NUEVE PESOS M/CTE ($23.886.839) AL CONTRATO DE INTERVENTORÍA NO. 3-1-102452-COI-1364-82 (PAF-ATMINDEPORTE-I-190-2022) APROBADO EN EL COMITÉ TÉCNICO No . 237</t>
  </si>
  <si>
    <t>ADICION Y PRORROGA 1 PARA EL CONTRATO DLA REVISIÓN DE ESTUDIOS Y DISEÑOS Y LA “INTERVENTORÍA INTEGRAL (ADMINISTRATIVA, FINANCIERA, CONTABLE, AMBIENTAL, SOCIAL, JURÍDICA Y TÉCNICA) A LA CONSTRUCCIÓN DE CANCHA SINTÉTICA RECREODEPORTIVA, PARQUE BIOSALUDABLE, ZONA DE PARQUE INFANTIL EN EL BARRIO EL CONCORD MUNICIPIO DE MALAMBO DEPARTAMENTO DE ATLÁNTICO"</t>
  </si>
  <si>
    <t xml:space="preserve"> ATLANTICO </t>
  </si>
  <si>
    <t>SOLICITUD DE PRÓRROGA Y ADICIÓN No 1 POR UN VALOR DE SETENTA Y CINCO MILLONES DOSCIENTOS SESENTA Y UN MIL NOVECIENTOS CUARENTA Y SIETE PESOS M/CTE ($75.261.947) AL CONTRATO DE INTERVENTORÍA NO. 3-1-102452-COI-1364-82 (PAF-ATMINDEPORTE-I-190-2022) APROBADO EN EL COMITÉ TÉCNICO No . 237</t>
  </si>
  <si>
    <t>MUNICIPIO DE MALAMBO</t>
  </si>
  <si>
    <t>La presente solicitud de adición de recursos se da en el marco del Convenio Interadministrativo CI-003 DE 2023 suscrito entre el municipio de Malambo y Findeter , establece que el municipio asumirá el costo por valor de $75.261.947 por la prórroga hasta el 25 de abril de 2024  al contrato de interventoría PAF-ATMINDEPORTE-I-036-2022, por lo tanto, el valor del contrato de interventoría asciende a la suma de $552.202.047, en concordancia con la cláusula cuarta parágrafo primero del contrato de prestación de servicios de Asistencia Técnica y Administración de Recursos No. COI-1364-2021 celebrado entre el Ministerio del Deporte y Findeter.</t>
  </si>
  <si>
    <t>REVISIÓN, AJUSTE Y COMPLEMENTACIÓN DE ESTUDIOS Y DISEÑOS Y, LA CONSTRUCCIÓN DE UNA CANCHA DE FUTBOL EN EL MUNICIPIO DE AMBALEMA TOLIMA</t>
  </si>
  <si>
    <t>AMBALEMA</t>
  </si>
  <si>
    <t>PAF-ATMINDEPORTE-O-007-2024</t>
  </si>
  <si>
    <t>3-1-102452-COI-1364-111</t>
  </si>
  <si>
    <t>CONSORCIO OBRAS ESPECIALES AMBALEMA</t>
  </si>
  <si>
    <t>INTERVENTORÍA INTEGRAL (TÉCNICA, ADMINISTRATIVA, FINANCIERA, CONTABLE, AMBIENTAL, SOCIAL Y JURÍDICA) PARA LA “REVISIÓN, AJUSTE Y COMPLEMENTACIÓN DE ESTUDIOS Y DISEÑOS Y, LA CONSTRUCCIÓN DE UNA CANCHA DE FUTBOL EN EL MUNICIPIO DE AMBALEMA TOLIMA”.</t>
  </si>
  <si>
    <t>PAF-ATMINDEPORTE-I-006-2024</t>
  </si>
  <si>
    <t>3-1-102452-COI-1364-112</t>
  </si>
  <si>
    <t>ADICIÓN Y PRÓRROGA NO 1 AL CONTRATO DE INTERVENTORÍA INTEGRAL (TÉCNICA, ADMINISTRATIVA, FINANCIERA, CONTABLE, AMBIENTAL, SOCIAL Y JURÍDICA) PARA LA REVISIÓN, AJUSTE Y COMPLEMENTACIÓN DE ESTUDIOS Y DISEÑOS Y CONSTRUCCIÓN DE CANCHAS DE SQUASH EN EL BARRIO CIUDADELA REAL DE MINAS DEL MUNICIPIO DE BUCARAMANGA, SANTANDER</t>
  </si>
  <si>
    <t>SOLICITUD DE PRÓRROGA NO. 01 POR EL TÉRMINO DE UN (01) MES Y ADICIÓN NO 1 POR VALOR DE DIEZ MILLONES QUINIENTOS SETENTA Y OCHO MIL CUATROCIENTOS SETENTA Y OCHO PESOS MCTE ($10.578.478) AL CONTRATO DE INTERVENTORÍA NO. 3-1-102452-COI-1364-85 (PAF-ATMINDEPORTE-I-183-2022)  APROBADO EN EL COMITÉ TÉCNICO No . 247</t>
  </si>
  <si>
    <t>laperdomo</t>
  </si>
  <si>
    <t>OBRA REVISIÓN ELABORACIÓN Y COMPLEMENTACIÓN DE ESTUDIOS Y DISEÑOS Y LAS OBRAS DE ADECUACIÓN, MANTENIMIENTO Y CONSTRUCCIÓNB DEL ALCANTARILLADO DEL CENTRO DE ALTO RENDIMIENTO UBICADO EN LA CIUDAD DE BOGOTÁ</t>
  </si>
  <si>
    <t>PAF-ATMINDEPORTE-O-027-2024</t>
  </si>
  <si>
    <t>3-1-102452-COI-1364-114</t>
  </si>
  <si>
    <t>INTERVENTORÍA INTEGRAL (TECNICA, ADMINISTRATIVA, FINANCIERA, CONTABLE, SOCIAL Y JURIDICA ELABORACIÓN Y COMPLEMENTACIÓN DE ESTUDIOS Y DISEÑOS Y LAS OBRAS DE ADECUACIÓN, MANTENIMIENTO Y CONSTRUCCIÓNB DEL ALCANTARILLADO DEL CENTRO DE ALTO RENDIMIENTO UBICADO EN LA CIUDAD DE BOGOTÁ</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</si>
  <si>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por valor actual de CIENTO SETENTA Y OCHO MIL SEISCIENTOS TREINTA Y TRES MILLONES CUATROCIENTOS CINCUENTA MIL SEISCIENTOS OCHENTA Y DOS PESOS CON SETENTA Y OCHO CENTAVOS MONEDA CORRIENTE ($178.633.450.682,78 M/CTE).</t>
  </si>
  <si>
    <t>PAF-ATMINDEPORTE-I-022-2024</t>
  </si>
  <si>
    <t>3-1-102452-COI-1364-113</t>
  </si>
  <si>
    <t>et2</t>
  </si>
  <si>
    <t>REVISIÓN, AJUSTE Y COMPLEMENTACIÓN DE ESTUDIOS Y DISEÑOS Y LA CONSTRUCCIÓN DE PLACA POLIDEPORTIVA CUBIERTA EN LA VEREDA BAMBOLEO, MUNICIPIO DE LA VEGA CAUCA</t>
  </si>
  <si>
    <t>LA VEGA</t>
  </si>
  <si>
    <t>PAF-ATMINDEPORTE-O-044-2024</t>
  </si>
  <si>
    <t>3-1-102452-COI-1364-115</t>
  </si>
  <si>
    <t>CONSORCIO OBRAS GA</t>
  </si>
  <si>
    <t>ADICIÓN Y PRÓRROGA NO 1 AL CONTRATO DE OBRA ELABORACIÓN DE ESTUDIOS Y DISEÑOS Y OBRAS DE ADECUACIÓN, MANTENIMIENTO Y/O REFORZAMIENTO ESTRUCTURAL DE LAS EDIFICACIONES DENTRO DEL CENTRO DE ALTO RENDIMIENTO EN ALTURA EN BOGOTÁ D.C"</t>
  </si>
  <si>
    <t>SOLICITUD DE PRORROGA NO 1  POR UN TÉRMINO DE CINCO MESES Y ADICIÓN NO 1 POR VALOR DE DOS MIL DOSCIENTOS CINCUENTA Y NUEVE MILLONES SEISCIENTOS VEINTIOCHO MIL SETENTA Y NUEVE PESOS  M/CTE (2.259.628.079) AL CONTRATO DE OBRA No 3-1-102452-COI-1364-94 (PAF-ATMINDEPORTE-O-025-2023) APROBADO EN EL COMITÉ TÉCNICO No . 256</t>
  </si>
  <si>
    <t>ADICIÓN Y PRÓRROGA NO 1 AL CONTRATO DE INTERVENTORÍA INTEGRAL  (TÉCNICA, ADMINISTRATIVA, FINANCIERA, CONTABLE, AMBIENTAL, SOCIAL Y JURÍDICA) PARA LA ELABORACION DE ESTUDIOS Y DISEÑOS Y OBRAS DE ADECUACION, MANTENIMIENTO Y/O REFORZAMIENTO ESTRUCTURAL DE LAS EDIFICACIONES DENTRO DEL CENTRO DE ALTO RENDIMIENTO EN ALTURA EN BOGOTÁ D.C."</t>
  </si>
  <si>
    <t>SOLICITUD DE PRÓRROGA No 1 POR UN TÉRMINO DE CINCO MESES Y ADICIÓN No 1 POR UN VALOR DE DOSCIENTOS CUARENTA MILLONES CUATROCIENTOS DIEZ MIL NOVECIENTOS DIEZ PESOS M/CTE ($240.410.910,00) AL CONTRATO DE INTERVENTORÍA NO. 3-1-102452-COI-1364-95 (PAF-ATMINDEPORTE-I-002-2023) APROBADO EN EL COMITÉ TÉCNICO No . 256</t>
  </si>
  <si>
    <t>5m</t>
  </si>
  <si>
    <t>INTERVENTORÍA INTEGRAL (TÉCNICA, ADMINISTRATIVA, FINANCIERA, CONTABLE, AMBIENTAL, SOCIAL Y JURÍDICA) PARA LA “REVISIÓN, AJUSTE Y COMPLEMENTACIÓN DE ESTUDIOS Y DISEÑOS Y LA CONSTRUCCIÓN DE PLACA POLIDEPORTIVA CUBIERTA EN LA VEREDA BAMBOLEO, MUNICIPIO DE LA VEGA CAUCA</t>
  </si>
  <si>
    <t>PAF-ATMINDEPORTE-I-037-2024</t>
  </si>
  <si>
    <t>3-1-102452-COI-1364-117</t>
  </si>
  <si>
    <t>CONSORCIO DEPORTIVO LA VEGA</t>
  </si>
  <si>
    <t>CANCELADO</t>
  </si>
  <si>
    <t>REVISIÓN, AJUSTE Y COMPLEMENTACIÓN DE ESTUDIOS Y DISEÑOS Y, LA CONSTRUCCIÓN DEL COMPLEJO RECREO-DEPORTIVO TERCERA ETAPA DEL PARQUE DE LA VIDA (FASE 1) EN EL MUNICIPIO DE SAN JOSE DEL GUAVIARE</t>
  </si>
  <si>
    <t>SAN JOSE DEL GUAVIARE</t>
  </si>
  <si>
    <t>PAF-ATMINDEPORTE-O-048-2024</t>
  </si>
  <si>
    <t>3-1-102452-COI-1364-120</t>
  </si>
  <si>
    <t>INTERVENTORÍA INTEGRAL (TÉCNICA, ADMINISTRATIVA, FINANCIERA, CONTABLE, AMBIENTAL, SOCIAL Y JURÍDICA) PARA LA REVISIÓN, AJUSTE Y COMPLEMENTACIÓN DE ESTUDIOS Y DISEÑOS Y, LA CONSTRUCCIÓN DEL COMPLEJO RECREO-DEPORTIVO TERCERA ETAPA DEL PARQUE DE LA VIDA (FASE 1) EN EL MUNICIPIO DE SAN JOSE DEL GUAVIARE</t>
  </si>
  <si>
    <t>PAF-ATMINDEPORTE-I-039-2024</t>
  </si>
  <si>
    <t>3-1-102452-COI-1364-119</t>
  </si>
  <si>
    <t>REVISIÓN, AJUSTE Y COMPLEMENTACIÓN DE ESTUDIOS Y DISEÑOS Y, LA CONSTRUCCIÓN POLIDEPORTIVO PARA LA VEREDA LA ESTELA, RESGUARDO INDÍGENA DE PANIQUITA, MUNICIPIO DE TOTORÓ - DEPARTAMENTO DEL CAUCA</t>
  </si>
  <si>
    <t>TOTORÓ</t>
  </si>
  <si>
    <t>PAF-ATMINDEPORTE-O-052-2024</t>
  </si>
  <si>
    <t>3-1-102452-COI-1364-118</t>
  </si>
  <si>
    <t>CONSORCIO DEPORTIVO TOTORO</t>
  </si>
  <si>
    <t>INTERVENTORÍA INTEGRAL (TÉCNICA, ADMINISTRATIVA, FINANCIERA, CONTABLE, AMBIENTAL, SOCIAL Y JURÍDICA) PARA LA “REVISIÓN, AJUSTE Y COMPLEMENTACIÓN DE ESTUDIOS Y DISEÑOS, Y LA CONSTRUCCIÓN POLIDEPORTIVO PARA LA VEREDA LA ESTELA, RESGUARDO INDÍGENA DE PANIQUITA, MUNICIPIO DE TOTORÓ - DEPARTAMENTO DEL CAUCA</t>
  </si>
  <si>
    <t>PAF-ATMINDEPORTE-I-042-2024</t>
  </si>
  <si>
    <t>3-1-102452-COI-1364-116</t>
  </si>
  <si>
    <t>ADICIÓN Y PRÓRROGA DEL CONTRATO DE INTERVENTORÍA NO 3- 1-102452-COI-1364-65 (PAF-ATMINDEPORTE-I-098-2022) POR EL TÉRMINO UN (4) MESES Y TRES DÍAS, APROBADO EN COMITE TECNICO 262</t>
  </si>
  <si>
    <t>APROBACIÓN DE COMITE TECNICO 262 DEL 15 DE ABRIL DE 2024. ADICIÓN 1 EN LA SUMA DE CINCUENTA Y OCHO MILLONES SETECIENTOS NOVENTA Y UN MIL NOVECIENTOS CINCUENTA PESOS ($ 58.791.950,00 M/CTE), AL CONTRATO DE INTERVENTORÍA No. 3- 1-102452-COI-1364-65 (PAF-ATMINDEPORTE-I-098-2022). LO ANTERIOR PARA AMPARAR SOLICITUD DE PRÓRROGA DEL CONTRATO MENCIOANDO POR EL TÉRMINO CUATRO (4) MESES Y TRES DÍAS. ESTA ADICIÓN SE SOLICITA EN EL MARCO DEL CONVENIO INTERADMINISTRATIVO No. 0088 DE 2024, CELEBRADO ENTRE LA FINANCIERA DE DESARROLLO TERRITORIAL S.A. - FINDETER Y EL MUNICIPIO DE LA VIRGINIA, RISARALDA</t>
  </si>
  <si>
    <t>Municipio Virginia</t>
  </si>
  <si>
    <t xml:space="preserve">La presente solicitud de adición de recursos se da en el marco del CONVENIO INTERADMINISTRATIVO No. 0088 DE 2024, CELEBRADO ENTRE LA FINANCIERA DE DESARROLLO TERRITORIAL S.A. - FINDETER Y EL MUNICIPIO DE LA VIRGINIA, establece que el municipio asumirá el costo por valor de $58.791.950, conforme a la solicitud de prórroga del CONTRATO DE INTERVENTORÍA NO 3- 1-102452-COI-1364-65 (PAF-ATMINDEPORTE-I-098-2022) POR EL TÉRMINO CUATRO (4) MESES Y TRES DÍAS. </t>
  </si>
  <si>
    <t>jezuluaga</t>
  </si>
  <si>
    <t>ADICIÓN No. 1 Y PRÓRROGAAL CONTRATO DE INTERVENTORÍA No. 3-1-102452-COI-1364-32 (PAF-ATMINDEPORTE-I-039-2022) DEL PROYECTO “CONSTRUCCIÓN DE UNIDAD DEPORTIVA JUAN GUILLERMO CUADRADO, EN EL MUNICIPIO DE NECOCLÍ DEPARTAMENTO DE ANTIOQUIA”, POR UN TÉRMINO DE CUATRO (4) MESES Y UN VALOR DE $238.669.754,00</t>
  </si>
  <si>
    <t>APROBACION DE COMITE TECNICO 264 DEL 19 E ABRIL DE 2024, PRORROGA Y ADICIÓN No. 1 AL CONTRATO DE INTERVENTORÍA No. 3-1-102452-COI-1364-32 (PAF-ATMINDEPORTE-I-039-2022) DEL PROYECTO “CONSTRUCCIÓN DE UNIDAD DEPORTIVA JUAN GUILLERMO CUADRADO, EN EL MUNICIPIO DE NECOCLÍ DEPARTAMENTO DE ANTIOQUIA”, POR UN TÉRMINO DE CUATRO (4) MESES Y UN VALOR DE $238.669.754</t>
  </si>
  <si>
    <t>00090</t>
  </si>
  <si>
    <t>MUNICIPIO DENECOCLÍ</t>
  </si>
  <si>
    <t xml:space="preserve">La presente solicitud de adición de recursos se da en el marco del CONVENIO INTERADMINISTRATIVO No. 0071 DE 2024, CELEBRADO ENTRE LA FINANCIERA DE DESARROLLO TERRITORIAL S.A. - FINDETER Y EL MUNICIPIO DE Necocli, establece que el municipio asumirá el costo  para garantizar la terminación del proyecto  “CONSTRUCCIÓN DE UNIDAD DEPORTIVA JUAN GUILLERMO CUADRADO, EN EL MUNICIPIO DE NECOCLÍ DEPARTAMENTO DE ANTIOQUIA” </t>
  </si>
  <si>
    <t>PRÓRROGA NO. 2 Y ADICION NO. 2 A LA INTERVENTORÍA MALAMBO CONCORD CONTRATO DE INTERVENTORÍA NO. NO. 3-1-102452-COI-1364-22  PAF-ATMINDEPORTE-I-036-2022, POR TRES (3) MESES DEL 04/06/2024 AL 04/09/2024 Y POR $60.000.000 - CUYO OBJETO ES “LA REVISIÓN A ESTUDIOS Y DISEÑOS Y LA INTERVENTORÍA INTEGRAL (ADMINISTRATIVA, FINANCIERA, CONTABLE, AMBIENTAL, SOCIAL, JURÍDICA Y TÉCNICA) A LA CONSTRUCCIÓN DE CANCHA SINTÉTICA RECREODEPORTIVA, PARQUE BIOSALUDABLE, ZONA DE PARQUE INFANTIL EN EL BARRIO EL CONCORD MUNICIPIO DE MALAMBO DEPARTAMENTO DE ATLÁNTICO</t>
  </si>
  <si>
    <t>ESTUDIOS PREVIOS APROBADOS EN COMITÉ TÉCNICO N° 272 DE FECHA 20/05/2024</t>
  </si>
  <si>
    <t>MUNICIPIO DEMALAMBO</t>
  </si>
  <si>
    <t>ADICIÓN NO. 2 POR EL VALOR DE SIETE MILLONES QUINIENTOS SESENTA Y DOS MIL TRESCIENTOS NUEVE PESOS M/CTE ($7.562.309,00) Y PRÓRROGA NO. 3 POR EL TÉRMINO DE QUINCE (15) DÍAS AL CONTRATO DE INTERVENTORÍA NO. 3-1-102452-COI-1364-85 (PAF-ATMINDEPORTE-I-183-2022) QUE TIENE POR OBJETO INTERVENTORÍA INTEGRAL (TÉCNICA, ADMINISTRATIVA, FINANCIERA, CONTABLE, AMBIENTAL, SOCIAL Y JURÍDICA) PARA LA REVISIÓN, AJUSTE Y COMPLEMENTACIÓN DE ESTUDIOS Y DISEÑOS Y CONSTRUCCIÓN DE CANCHAS DE SQUASH EN EL BARRIO CIUDADELA REAL DE MINAS DEL MUNICIPIO DE BUCARAMANGA, SANTANDER</t>
  </si>
  <si>
    <t>ADICIÓN NO. 2 POR EL VALOR DE VEINTIDÓS MILLONES CIENTO SESENTA Y DOS MIL TRESCIENTOS SESENTA Y SEIS PESOS M/CTE ($22.162.366,00) Y PRÓRROGA NO. 3 POR EL TÉRMINO DE QUINCE (15) DÍAS AL CONTRATO DE OBRA NO. 3-1-102452-COI-1364-84 (PAF-ATMINDEPORTE-O-117-2022)  QUE TIENE POR OBJETO CONTRACTUAL REVISIÓN, AJUSTE Y COMPLEMENTACIÓN DE ESTUDIOS Y DISEÑOS Y CONSTRUCCIÓN DE CANCHAS DE SQUASH EN EL BARRIO CIUDADELA REAL DE MINAS DEL MUNICIPIO DE BUCARAMANGA, SANTANDER</t>
  </si>
  <si>
    <t xml:space="preserve">ADICIÓN N.1 POR VALOR DE $101.686.099, AL CONTRATO DE OBRA NO. 3-1-102452-COI-1364-106 (PAF-ATMINDEPORTE-O-067-2023), CUYO OBJETO ES "REVISIÓN, AJUSTE Y COMPLEMENTACIÓN DE ESTUDIOS Y DISEÑOS Y CONSTRUCCIÓN DE ESCENARIO RECREODEPORTIVO (FASE 1) EN LA CABECERA MUNICIPAL DEL MUNICIPIO DE EL MOLINO EN EL DEPARTAMENTO DE LA GUAJIRA", POR CONCEPTO DE MAYORES CANTIDADES DE OBRA COMO RESULTADO DE LOS ESTUDIOS HECHOS EN LA ETAPA I </t>
  </si>
  <si>
    <t>ESTUDIOS PREVIOS APROBADOS EN COMITÉ TÉCNICO N° 275 DE FECHA 24/05/2024</t>
  </si>
  <si>
    <t>ADICIÓN NO. 1 POR EL VALOR DE $276.706.238,00 Y PRÓRROGA NO. 1 POR EL TÉRMINO DE TRES (3) MESES Y NUEVE (9) DÍAS AL CONTRATO DE INTERVENTORIA NO. 3-1-102452-COI-1364-05 (PAF-ATMINDEPORTE-I-012-2022), DEL PROYECTO CONSTRUCCION COMPLEJO DEPORTIVO EN EL SECTOR LA MESETA DEL MUNICIPIO DE GIRON, DEPARTAMENTO DE SANTANDER</t>
  </si>
  <si>
    <t>ESTUDIOS PREVIOS APROBADOS EN COMITÉ TÉCNICO N° 276 DE FECHA 27/05/2024</t>
  </si>
  <si>
    <t>ADICIÓN NO. 1 Y PRÓRROGA NO. 2 AL CONTRATO DE INTERVENTORÍA NO. 3-1-102452-COI-1364-28 (PAF-ATMINDEPORTE-I-041-2022) DEL PROYECTO “CONSTRUCCIÓN Y ADECUACIÓN DE LA UNIDAD RECREODEPORTIVA DEL MUNICIPIO DE CERETÉ, DEPARTAMENTO DE CÓRDOBA.”, POR UN TÉRMINO DE DOS (02) MESES Y DIEZ (10) DÍAS CALENDARIO Y UN VALOR DE CUARENTA Y SEIS MILLONES DOSCIENTOS DIECIOCHO MIL SETECIENTOS CINCUENTA PESOS ($ 46.218.750,00).</t>
  </si>
  <si>
    <t>Municipio de Cereté</t>
  </si>
  <si>
    <t>En virtud del Convenio interadministrativo No. 004-2024, celebrado entre municipio de Cereté, Cordoba Y LA FINANCIERA DE DESARROLLO
TERRITORIAL S.A. FINDETER, cuyo objeto es Aunar esfuerzos para la continuidad de la interventoría del proyecto, que tiene por objeto “LA REVISIÓN
A ESTUDIOS Y DISEÑOS Y LA INTERVENTORÍA INTEGRAL (ADMINISTRATIVA, FINANCIERA, CONTABLE, AMBIENTAL, SOCIAL, JURÍDICA Y
TÉCNICA) A LA CONSTRUCCIÓN DE LA UNIDAD RECREODEPORTIVA DEL MUNICIPIO DE CERETÉ, DEPARTAMENTO CORDOBA.- cuya
destinación exclusivamente será para la adición que se realizará al contrato de interventoría No. 3-1-102452-COI-1364-28 (PAF-ATMINDEPORTE-I-041-
2022)</t>
  </si>
  <si>
    <t>SN</t>
  </si>
  <si>
    <t>OTROSI No. 1. INTERVENTORÍA TÉCNICA, ADMINISTRATIVA, FINANCIERA, CONTABLE, AMBIENTAL, SOCIAL Y JURÍDICA PARA LA EJECUCIÓN DEL PROYECTO DENOMINADO CONSTRUCCIÓN ETAPA 1 DE LA UNIDAD DEPORTIVA Y RECREATIVA PARA LA INTEGRACIÓN DE LOS MUNICIPIOS ROBERTO PAYÁN, MAGÛI PAYÁN Y BARBACOAS EN EL CASCO URBANO DEL MUNICIPIO ROBERTO PAYÁN.</t>
  </si>
  <si>
    <t>CONTRATO CESIÓN DERECHOS ECONOMICOS ENTRE EL CONTRATISTA DE OBRA Y EL INTERVENTOR ACEPTADO POR PARTE DEL MUNICIPIO</t>
  </si>
  <si>
    <t>Apremio</t>
  </si>
  <si>
    <t>Descuento mayor permanencia interv</t>
  </si>
  <si>
    <t>Contrato de cesión de derechos economicos, contratista de obra e interventor aceptado por parte del municipio</t>
  </si>
  <si>
    <t>2m+28d</t>
  </si>
  <si>
    <t>APROBACION DE COMITE TECNICO 279 DE 7 DE JUNIO AL 11 DE JUNIO DE 2024 CONVENIO INTERADMINISTRATIVO N° CD-58-2023-7737 ENTRE EL DISTRITO ESPECIAL, INDUSTRIAL Y PORTUARIO DE BARRANQUILLA Y LA FINANCIERA DE DESARROLLO TERRITORIAL SA-FINDETER, Y PARA LO CUAL EL DISTRITO DE BARRANQUILLA EXPIDIÓ EL CDP No. 202303905, POR VALOR DE CIENTO CUARENTA Y OCHO MILLONES SETECIENTOS VEINTIDOS MIL OCHOCIENTOS SETENTA Y NUEVE PESOS ($148.722.879,00) Y CDP No. 202401047 POR VALOR DE $472.894.331. PARA UN TOTAL DE SEISCIENTOS VEINTIÚN MILLONES SEISCIENTOS DIECISIETE MIL DOSCIENTOS DIEZ PESOS ($621.617.210,00)</t>
  </si>
  <si>
    <t>MUNICIPIO DE BARRANQUILLA</t>
  </si>
  <si>
    <t>APROBACION DE COMITE TECNICO 279 DE 7 DE JUNIO AL 11 DE JUNIO DE 2024 CONVENIO INTERADMINISTRATIVO N° CD-58-2023-7737 ENTRE EL DISTRITO ESPECIAL, INDUSTRIAL Y PORTUARIO DE BARRANQUILLA Y LA FINANCIERA DE DESARROLLO TERRITORIAL SA-FINDETER, Y PARA LO CUAL EL DISTRITO DE BARRANQUILLA EXPIDIÓ EL CDP NO. 202303905, POR VALOR DE CIENTO CUARENTA Y OCHO MILLONES SETECIENTOS VEINTIDOS MIL OCHOCIENTOS SETENTA Y NUEVE PESOS ($148.722.879,00) Y CDP NO. 202401047 POR VALOR DE $472.894.331. PARA UN TOTAL DE SEISCIENTOS VEINTIÚN MILLONES SEISCIENTOS DIECISIETE MIL DOSCIENTOS DIEZ PESOS ($621.617.210,00)</t>
  </si>
  <si>
    <t>ADICION REVISIÓN DE ESTUDIOS Y DISEÑOS Y LA INTERVENTORÍA INTEGRAL (ADMINISTRATIVA, FINANCIERA, CONTABLE, AMBIENTAL, SOCIAL, JURÍDICA Y TÉCNICA) PARA LA CONSTRUCCIÓN DE PATINODROMO EL CONDE DE CUCHICUTE EN EL MUNICIPIO DE SAN GIL.</t>
  </si>
  <si>
    <t>APROBACION DE COMITE TECNICO 280 DE 11 DE JUNIO AL 12 DE JUNIO DE 2024 PRÓRROGA No. 3 Y ADICIÓN No. 1 AL CONTRATO DE INTERVENTORÍA No 3-1-102452-COI-1364-64 (PAF-ATMINDEPORTE-I-093-2022) REVISIÓN DE ESTUDIOS Y DISEÑOS Y INTERVENTORÍA INTEGRAL (ADMINISTRATIVA, FINANCIERA, CONTABLE, AMBIENTAL, SOCIAL, JURÍDICA Y TÉCNICA) PARA LA CONSTRUCCIÓN DE PATINODROMO EL CONDE DE CUCHICUTE EN EL MUNICIPIO DE SAN GIL” POR UN TÉRMINO DE CUARENTA Y CINCO (45) DIAS CALENDARIO Y UN VALOR DE TREINTA Y OCHO MILLONES OCHOCIENTOS SESENTA Y TRES MIL CUATROCIENTOS DIECISIETE PESOS ($38.863.417,00).</t>
  </si>
  <si>
    <t>ADICIÓN Y PRÓRROGA AL CONTRATO DE INTERVENTORÍA N° 3- 1-102452-COI-1364-97 (PAF-ATMINDEPORTE-I-023-2023) POR VALOR DE CIENTO OCHENTA Y TRES MILLONES QUINIENTOS DIEZ MIL DOSCIENTOS TREINTA Y SEIS PESOS CON VEINTINUEVE CENTAVOS ($183.510.236,29) M/CTE Y POR EL TÉRMINO DE SEIS (06) MESES Y SIETE (07) DÍAS CALENDARIO PARA EL PROYECTO QUE TIENE POR OBJETO: INTERVENTORÍA TÉCNICA, ADMINSITRATIVA, FINANCIERA, CONTABLE, AMBIENTAL, SOCIAL, Y JURÍDICA PARA LA EJECUCIÓN DEL PROYECTO DENOMINADO “CONSTRUCCIÓN Y MEJORAMIENTO DE LA PRIMERA FASE DEL ESCENARIO DE FÚTBOL DEL MUNICIPIO DE CÉRTEGUI EN EL DEPARTAMENTO DE CHOCÓ”</t>
  </si>
  <si>
    <t>APROBACION DE COMITE TECNICO 290 DEL 02 AL 05 DE AGOSTO DE 2024. ADICIÓN Y PRÓRROGA AL CONTRATO DE INTERVENTORÍA N° 3- 1-102452-COI-1364-97 (PAF-ATMINDEPORTE-I-023-2023) POR VALOR DE CIENTO OCHENTA Y TRES MILLONES QUINIENTOS DIEZ MIL DOSCIENTOS TREINTA Y SEIS PESOS CON VEINTINUEVE CENTAVOS ($183.510.236,29) M/CTE Y POR EL TÉRMINO DE SEIS (06) MESES Y SIETE (07) DÍAS CALENDARIO PARA EL PROYECTO QUE TIENE POR OBJETO: INTERVENTORÍA TÉCNICA, ADMINSITRATIVA, FINANCIERA, CONTABLE, AMBIENTAL, SOCIAL, Y JURÍDICA PARA LA EJECUCIÓN DEL PROYECTO DENOMINADO “CONSTRUCCIÓN Y MEJORAMIENTO DE LA PRIMERA FASE DEL ESCENARIO DE FÚTBOL DEL MUNICIPIO DE CÉRTEGUI EN EL DEPARTAMENTO DE CHOCÓ”</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</si>
  <si>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por valor actual de CIENTO OCHENTA Y TRES MILLONES QUINIENTOS DIEZ MIL DOSCIENTOS TREINTA Y SEIS PESOS CON VEINTINUEVE CENTAVOS  ($183,510,236,29) M/CTE.</t>
  </si>
  <si>
    <t>UNIÓN TEMPORAL FASE 23</t>
  </si>
  <si>
    <t>6m7d</t>
  </si>
  <si>
    <t>6.5m</t>
  </si>
  <si>
    <t>ADICIÓN AL CONVENIO INTERADMINISTRATIVO No. 0125 DE 2022 SUSCRITO ENTRE FINDETER Y EL MUNICIPIO DE BOJAYÁ, CHOCÓ.</t>
  </si>
  <si>
    <t>CARTA 2024EE0016426 DEL MINISTERIO DEL DEPORTE DESARROLLO DEL PROYECTO Departamento del Choco</t>
  </si>
  <si>
    <t>APROBACION DE COMITE TECNICO 291 DE 9 DE AGOSTO AL 13 DE AGOSTO DE 2024 PRÓRROGA No. 2 DEL CONTRATO DE INTERVENTORÍA No. 3-1-102452-COI-1364-69 (PAF-ATMINDEPORTE-I-099-2022) POR EL TERMINO DE 65 DÍAS CALENDARIO Y ADICIÓN DEL CONTRATO DE INTERVENTORÍA No. 3-1-102452-COI-1364-69 (PAF-ATMINDEPORTE-I-099-2022) POR VALOR DE DIECISIETE MILLONES CUATROCIENTOS TREINTA Y CUATRO MIL NOVECIENTOS NOVENTA Y NUEVE PESOS M/CTE ($ 17.434.999,00) POR CONCEPTO DE MAYOR PERMANENCIA.</t>
  </si>
  <si>
    <t>SOLICITUD DE PRORROGA NO 2 Y ADICION NO 2 AL CONTRATO DE INTERVENTORÍA NO. 3-1-102452-COI-1364-32 (PAF-ATMINDEPORTE-I-039-2022) DEL PROYECTO “CONSTRUCCIÓN DE UNIDAD DEPORTIVA JUAN GUILLERMO CUADRADO, EN EL MUNICIPIO DE NECOCLÍ DEPARTAMENTO DE ANTIOQUIA”, POR UN TÉRMINO DE CUATRO (04) MES Y UN VALOR DE CIENTO DIECINUEVE MILLONES TRESCIENTOS TREINTA Y CUATRO MIL OCHOCIENTOS SETENTA Y SIETE PESOS ($119.334.877).</t>
  </si>
  <si>
    <t>APROBACION DE COMITE TECNICO 293 DEL 23 DE AGOSTO AL 26 DE AGOSTO DE 2024, SOLICITUD: PRÓRROGA No. 3 POR EL TÉRMINO TRES (3) MESES Y ADICIÓN No. 2 POR VALOR DE SESENTA Y NUEVE MILLONES NOVECIENTOS DIECISEIS MIL DOSCIENTOS SESENTA Y DOS PESOS CON CUARENTA Y DOS CENTAVOS M/CTE ($69.916.262.42). M/CTE., AL CONTRATO DE INTERVENTORÍA NO 3- 1-102452-COI-1364-65 (PAF-ATMINDEPORTE-I-098-2022) PARA EL CONTRATO QUE TIENE POR OBJETO: “REVISIÓN A ESTUDIOS Y DISEÑOS Y LA INTERVENTORÍA INTEGRAL (ADMINISTRATIVA, FINANCIERA, CONTABLE, AMBIENTAL, SOCIAL, JURÍDICA Y TÉCNICA) AL MEJORAMIENTO Y ADECUACIÓN DEL PARQUE LINEAL SOPINGA FASE 1 EN EL MUNICIPIO DE LA VIRGINIA, RISARALDA”</t>
  </si>
  <si>
    <t>(100 cf )ADICIÓN 1 EN LA SUMA DE SESENTA Y CINCO MILLONES SEISCIENTOS NUEVE MIL DIECIOCHO PESOS CON TREINTA Y CINCO CENTAVOS M/CTE ($65.609.018,35 M/CTE), Y  PRÓRROGA 1  DEL CONTRATO DE INTERVENTORÍA NO 3- 1-102452-COI-1364-72 (PAF-ATMINDEPORTE-I-131-2022) POR EL TÉRMINO UN (7) MESES , DEL PROYECTO QUE TIENE POR OBJETO: REVISIÓN A ESTUDIOS Y DISEÑOS Y LA INTERVENTORÍA INTEGRAL (ADMINISTRATIVA, FINANCIERA, CONTABLE, AMBIENTAL, SOCIAL, JURÍDICA Y TÉCNICA) A LA "CONSTRUCCIÓN DE UNA CANCHA SINTETICA EN EL CORREGIMIENTO DE FLORENCIA, ZONA RURAL DEL MUNICIPIO DE SAMANÁ.</t>
  </si>
  <si>
    <t>APROBACION DE COMITE TECNICO 293 DEL 23 DE AGOSTO AL 26 DE AGOSTO DE 2024, ADICIÓN 1 EN LA SUMA DE SESENTA Y CINCO MILLONES SEISCIENTOS NUEVE MIL DIECIOCHO PESOS CON TREINTA Y CINCO CENTAVOS M/CTE ($65.609.018,35 M/CTE), Y  PRÓRROGA 1  DEL CONTRATO DE INTERVENTORÍA NO 3- 1-102452-COI-1364-72 (PAF-ATMINDEPORTE-I-131-2022) POR EL TÉRMINO UN (7) MESES , DEL PROYECTO QUE TIENE POR OBJETO: REVISIÓN A ESTUDIOS Y DISEÑOS Y LA INTERVENTORÍA INTEGRAL (ADMINISTRATIVA, FINANCIERA, CONTABLE, AMBIENTAL, SOCIAL, JURÍDICA Y TÉCNICA) A LA "CONSTRUCCIÓN DE UNA CANCHA SINTETICA EN EL CORREGIMIENTO DE FLORENCIA, ZONA RURAL DEL MUNICIPIO DE SAMANÁ.</t>
  </si>
  <si>
    <t>SOLICITUD DE PRÓRROGA No. 3 POR EL TÉRMINO DE DOS (02) MESES Y CINCO (5) DÍAS CALENDARIO Y ADICIÓN EN VALOR No. 3 POR $40.000.000,00 AL CONTRATO DE INTERVENTORÍA No. 3-1-102452-COI-1364-13 (PAF-ATMINDEPORTE-I-036-2022),</t>
  </si>
  <si>
    <t xml:space="preserve">APROBACION DE COMITE TECNICO 293 DE 23 DE AGOSTO AL 26 DE AGOSTO DE 2024, SOLICITUD PRÓRROGA NO. 3 Y ADICION NO. 3 A LA INTERVENTORÍA MALAMBO CONCORD CONTRATO No. PAF-ATMINDEPORTE-I-036-2022, POR DOS (2) MESES Y CINCO (5) DÍAS CALENDARIO DEL 04/09/2024 AL 09/11/2024 Y POR $40.000.000 - CUYO OBJETO ES “LA REVISIÓN A ESTUDIOS Y DISEÑOS Y LA INTERVENTORÍA INTEGRAL (ADMINISTRATIVA, FINANCIERA, CONTABLE, AMBIENTAL, SOCIAL, JURÍDICA Y TÉCNICA) A LA CONSTRUCCIÓN DE CANCHA SINTÉTICA RECREODEPORTIVA, PARQUE BIOSALUDABLE, ZONA DE PARQUE INFANTIL EN EL BARRIO EL CONCORD MUNICIPIO DE MALAMBO DEPARTAMENTO DE ATLÁNTICO” </t>
  </si>
  <si>
    <t>CANCELADO. PRORROGA Y ADICION NO 1 AL CONTRATO DE INTERVENTORÍA N.º 3-1-102452-COI-1364-02 (PAF-ATMINDEPORTE-I-013-2022) DEL PROYECTO “CONSTRUCCIÓN DEL COLISEO DE COMBATE YUBERGEN MARTÍNEZ, EN EL MUNICIPIO DE CHIGORODÓ, ANTIOQUIA”, POR EL TÉRMINO DE CUATRO (4) MESES Y UN DE CIENTO CINCUENTA Y OCHO MILLONES NOVECIENTOS TREINTA Y CUATRO MIL SEISCIENTOS SESENTA Y SEIS ($158.934.666) (CANCELADO)</t>
  </si>
  <si>
    <t>APROBACION DE COMITE TECNICO 295 DEL 06 DE SEPTIEMBRE AL 09 DE SEPTIEMBRE DE 2024, .PRORROGA Y ADICION NO 1 AL CONTRATO DE INTERVENTORÍA N.º 3-1-102452-COI-1364-02 (PAF-ATMINDEPORTE-I-013-2022) DEL PROYECTO “CONSTRUCCIÓN DEL COLISEO DE COMBATE YUBERGEN MARTÍNEZ, EN EL MUNICIPIO DE CHIGORODÓ, ANTIOQUIA”, POR EL TÉRMINO DE CUATRO (4) MESES Y UN DE CIENTO CINCUENTA Y OCHO MILLONES NOVECIENTOS TREINTA Y CUATRO MIL SEISCIENTOS SESENTA Y SEIS ($158.934.666)</t>
  </si>
  <si>
    <t>ADICIÓN  AL CONVENIO INTERADMINISTRATIVO NO. 0134 DE 2022 POR VALOR DE OCHENTA Y UN MILLONES SETENTA Y TRES MIL OCHOCIENTOS CINCUENTA PESOS ($81.073.850,00) M/CTE.</t>
  </si>
  <si>
    <t>ADICIÓN  AL CONVENIO INTERADMINISTRATIVO NO. 0126 DE 2022 POR VALOR DE SETECIENTOS VEINTICUATRO MILLONES QUINIENTOS CINCUENTA Y SIETE MIL TRESCIENTOS VEINTITRÉS PESOS ($724.557.323,00) M/CTE.</t>
  </si>
  <si>
    <t>MODIFICATORIO No. 2 AL CONVENIO INTERADMINISTRATIVO No. 0126 DE 2022 SUSCRITO ENTRE LA FINANCIERA DE DESARROLLO TERRITORIAL S.A. - FINDETER Y EL MUNICIPIO DE CÉRTEGUI, DEPARTAMENTO DE CHOCÓ.</t>
  </si>
  <si>
    <t>Adición  al Convenio Interadministrativo No. 0129 de 2022 por valor de TRESCIENTOS CINCO MILLONES DOSCIENTOS CINCUENTA MIL QUINIENTOS QUINCE PESOS CON CUARENTA Y TRES CENTAVOS ($305.250.515,43) M/CTE.</t>
  </si>
  <si>
    <t>MODIFICATORIO No. 2 AL CONVENIO INTERADMINISTRATIVO No. 0129 DE 2022 SUSCRITO ENTRE LA FINANCIERA DE DESARROLLO TERRITORIAL S.A. - FINDETER Y EL MUNICIPIO DE ATRATO, DEPARTAMENTO DE CHOCÓ.</t>
  </si>
  <si>
    <t>PRORROGA Y ADICION No 1 AL CONTRATO DE INTERVENTORÍA N.º 3-1-102452-COI-1364-02 (PAF-ATMINDEPORTE-I-013-2022) DEL PROYECTO “CONSTRUCCIÓN DEL COLISEO DE COMBATE YUBERGEN MARTÍNEZ, EN EL MUNICIPIO DE CHIGORODÓ, ANTIOQUIA”, POR EL TÉRMINO DE UN (01) MES Y QUINCE (15) DIAS CALENDARIO Y UN VALOR DE CINCUENTA Y NUEVE MILLONES SEISCIENTOS MIL QUINIENTOS PESOS M/CTE ($59.600.500,00).</t>
  </si>
  <si>
    <t>1m+15d+8d</t>
  </si>
  <si>
    <t xml:space="preserve">PRÓRROGA DEL PLAZO DE EJECUCIÓN POR VEINTE (20) DÍAS Y ADICIÓN N.1 POR VALOR DE $30.410.236,00 AL CONTRATO DE OBRA NO. 3-1-102452-COI-1364-114 (PAF-ATMINDEPORTE-O-027-2024), QUE TIENE POR OBJETO: CONTRATAR “LA REVISION, ELABORACIÓN Y COMPLEMENTACIÓN DE ESTUDIOS Y DISEÑOS Y LAS OBRAS DE ADECUACION, MANTENIMIENTO Y CONSTRUCCION DEL ALCANTARILLADO DEL CENTRO DE ALTO RENDIMIENTO UBICADO EN LA CIUDAD DE BOGOTA D.C” PARA LA ELABORACIÓN DE DIAGNÓSTICO Y DISEÑOS DE MAYORES CANTIDADES DE OBRA. </t>
  </si>
  <si>
    <t>APROBACION DE COMITE TECNICO 300 DEL 03 DE OCTUBRE DE 2024,.PRÓRROGA DEL PLAZO DE EJECUCIÓN POR VEINTE (20) DÍAS Y ADICIÓN N.1 POR VALOR DE $7.858.809,00, AL CONTRATO DE INTERVENTORÍA NO. 3-1-102452-COI-1364-113 (PAF-ATMINDEPORTE-I-022-2024) PARA LA ELABORACIÓN DE DIAGNÓSTICO Y DISEÑOS DE MAYORES CANTIDADES DE OBRA.</t>
  </si>
  <si>
    <t>PRÓRROGA DEL PLAZO DE EJECUCIÓN POR VEINTE (20) DÍAS Y ADICIÓN N.1 POR VALOR DE $7.858.809,00, AL CONTRATO DE INTERVENTORÍA NO. 3-1-102452-COI-1364-113 (PAF-ATMINDEPORTE-I-022-2024) PARA LA ELABORACIÓN DE DIAGNÓSTICO Y DISEÑOS DE MAYORES CANTIDADES DE OBRA.</t>
  </si>
  <si>
    <t>6m</t>
  </si>
  <si>
    <t>cf 50%</t>
  </si>
  <si>
    <t>PRÓRROGA NO. 2 Y ADICIÓN NO. 2 AL CONTRATO DE INTERVENTORÍA N° 3- 1-102452-COI-1364-96 (PAF-ATMINDEPORTE-I-024-2023) QUE TIENE COMO OBJETO INTERVENTORÍA TÉCNICA, ADMINSITRATIVA, FINANCIERA, CONTABLE, AMBIENTAL, SOCIAL, Y JURÍDICA PARA LA EJECUCIÓN DEL PROYECTO DENOMINADO “CONSTRUCCIÓN ETAPA 1 DE LA UNIDAD DEPORTIVA Y RECREATIVA PARA LA INTEGRACIÓN DE LOS MUNICIPIOS DE ROBERTO PAYÁN, MAGUI PAYÁN Y BARBACOAS EN EL CASCO URBANO DEL MUNICIPIO ROBERTO PAYÁN” POR EL TÉRMINO DE DOS (02) MESES Y POR VALOR DE CINCUENTA Y NUEVE MILLONES CIENTO TREINTA Y CUATRO MIL QUINIENTOS NOVENTA Y CUATRO PESOS CON TRECE CENTAVOS ($59.134.594,13) M/CTE.</t>
  </si>
  <si>
    <t>APROBACION DE COMITE TECNICO 301 DEL 04 DE OCTUBRE AL 07 DE OCTUBRE DE 2024, PRÓRROGA NO. 2 Y ADICIÓN NO. 2 AL CONTRATO DE INTERVENTORÍA N° 3- 1-102452-COI-1364-96 (PAF-ATMINDEPORTE-I-024-2023) QUE TIENE COMO OBJETO INTERVENTORÍA TÉCNICA, ADMINSITRATIVA, FINANCIERA, CONTABLE, AMBIENTAL, SOCIAL, Y JURÍDICA PARA LA EJECUCIÓN DEL PROYECTO DENOMINADO “CONSTRUCCIÓN ETAPA 1 DE LA UNIDAD DEPORTIVA Y RECREATIVA PARA LA INTEGRACIÓN DE LOS MUNICIPIOS DE ROBERTO PAYÁN, MAGUI PAYÁN Y BARBACOAS EN EL CASCO URBANO DEL MUNICIPIO ROBERTO PAYÁN” POR EL TÉRMINO DE DOS (02) MESES Y POR VALOR DE CINCUENTA Y NUEVE MILLONES CIENTO TREINTA Y CUATRO MIL QUINIENTOS NOVENTA Y CUATRO PESOS CON TRECE CENTAVOS ($59.134.594,13) M/CTE.</t>
  </si>
  <si>
    <t>ADICIÓN POR EL VALOR DE QUINIENTOS MILLONES ($500.000.000) DE PESOS MCTE, AL CONTRATO DE OBRA NO. 3-1-102452-COI-1364-109 (PAF-ATMINDEPORTE-O-063-2023), CUYO OBJETO ES: REVISIÓN, AJUSTE Y COMPLEMENTACIÓN DE ESTUDIOS Y DISEÑOS Y CONSTRUCCIÓN DE CANCHA POLIFUNCIONAL EN EL CENTRO POBLADO DE YARIMA EN EL MUNICIPIO DE SAN VICENTE DEL CHUCURI, SANTANDER POR CONCEPTO DE MAYORES CANTIDADES DE OBRA COMO RESULTADO DE LOS ESTUDIOS HECHOS EN LA ETAPA I E INCLUSIÓN DE  APU´S DE LOS ITEMS NO PREVISTOS POR CONCEPTO DE MAYORES CANTIDADES DE OBRA COMO RESULTADO DE LOS ESTUDIOS HECHOS EN LA ETAPA I</t>
  </si>
  <si>
    <t>APROBACION DE COMITE TECNICO 302 DEL 18 DE OCTUBRE AL 21 DE OCTUBRE DE 2024, ADICIÓN POR EL VALOR DE QUINIENTOS MILLONES ($500.000.000) DE PESOS MCTE, AL CONTRATO DE OBRA NO. 3-1-102452-COI-1364-109 (PAF-ATMINDEPORTE-O-063-2023), CUYO OBJETO ES: REVISIÓN, AJUSTE Y COMPLEMENTACIÓN DE ESTUDIOS Y DISEÑOS Y CONSTRUCCIÓN DE CANCHA POLIFUNCIONAL EN EL CENTRO POBLADO DE YARIMA EN EL MUNICIPIO DE SAN VICENTE DEL CHUCURI, SANTANDER POR CONCEPTO DE MAYORES CANTIDADES DE OBRA COMO RESULTADO DE LOS ESTUDIOS HECHOS EN LA ETAPA I E INCLUSIÓN DE  APU´S DE LOS ITEMS NO PREVISTOS POR CONCEPTO DE MAYORES CANTIDADES DE OBRA COMO RESULTADO DE LOS ESTUDIOS HECHOS EN LA ETAPA I</t>
  </si>
  <si>
    <t>22/10/2024</t>
  </si>
  <si>
    <t>Pendiente otrosí suscrito</t>
  </si>
  <si>
    <t>PRÓRROGA No. 1 HASTA EL 19 DE ABRIL DE 2025 Y SOLICITUD DE ADICIÓN No. 1 POR $49.575.136,48 AL CONTRATO DE INTERVENTORÍA No. 3-1-102452-COI-1364-100 (PAF-ATMINDEPORTE-I-050-2023) DEL PROYECTO “INTERVENTORÍA, TÉCNICA, ADMINISTRATIVA, FINANCIERA, CONTABLE, AMBIENTAL, SOCIAL Y JURÍDICA PARA LA EJECUCIÓN DEL PROYECTO DENOMINADO REVISIÓN, AJUSTE Y COMPLEMENTACIÓN DE ESTUDIOS Y DISEÑOS, Y, LA CONSTRUCCIÓN DE LA PLACA POLIDEPORTIVA CUBIERTA EN EL CORREGIMIENTO LA LOMA EN EL MUNICIPIO DE BOJAYÁ – DEPARTAMENTO DE CHOCÓ.</t>
  </si>
  <si>
    <t>APROBACION DE COMITE TECNICO 306 DEL 01 DE NOVIEMBRE AL 05 DE NOVIEMBRE DE 2024, PRÓRROGA No. 1 HASTA EL 19 DE ABRIL DE 2025 Y SOLICITUD DE ADICIÓN No. 1 POR $49.575.136,48 AL CONTRATO DE INTERVENTORÍA No. 3-1-102452-COI-1364-100 (PAF-ATMINDEPORTE-I-050-2023) DEL PROYECTO “INTERVENTORÍA, TÉCNICA, ADMINISTRATIVA, FINANCIERA, CONTABLE, AMBIENTAL, SOCIAL Y JURÍDICA PARA LA EJECUCIÓN DEL PROYECTO DENOMINADO REVISIÓN, AJUSTE Y COMPLEMENTACIÓN DE ESTUDIOS Y DISEÑOS, Y, LA CONSTRUCCIÓN DE LA PLACA POLIDEPORTIVA CUBIERTA EN EL CORREGIMIENTO LA LOMA EN EL MUNICIPIO DE BOJAYÁ – DEPARTAMENTO DE CHOCÓ.</t>
  </si>
  <si>
    <t>APROBACION DE COMITE TECNICO 306 DEL 01 DE NOVIEMBRE AL 05 DE NOVIEMBRE DE 2024, PRORROGA No 1 Y ADICION No 1 AL CONTRATO DE INTERVENTORÍA No. 3-1-102452-COI-1364-34 (PAF-ATMINDEPORTE-I-056-2022) DEL PROYECTO “CONSTRUCCIÓN DE LA PRIMERA ETAPA DE UN POLIDEPORTIVO CUBIERTO, MUNICIPIO DE GUACAMAYAS, DEPARTAMENTO DE BOYACÁ”, POR EL TÉRMINO DE UN (01) MES Y CARTORCE (14) DIAS Y UN VALOR DE TREINTA Y UN MILLONES DOSCIENTOS CUATRO MIL SEISCIENTOS SESENTA PESOS ($31.204.660).</t>
  </si>
  <si>
    <t>CANCELADO. PRÓRROGA POR EL TERMINO DE DOS (2) MESES Y ADICIÓN POR VALOR DE $1.100.000.000, AL CONTRATO DE OBRA NO. 3-1-102452-COI-1364-94 (PAF-ATMINDEPORTES-O-025-2023), POR CONCEPTO DE MAYORES CANTIDADES DE OBRA COMO RESULTADO DEL DESARROLLO DE LAS OBRAS DE ETAPA II EN EL PROYECTO ELABORACIÓN DE ESTUDIOS Y DISEÑOS Y OBRAS DE ADECUACIÓN, MANTENIMIENTO Y/O REFORZAMIENTO ESTRUCTURAL DE LAS EDIFICACIONES DENTRO DEL CENTRO DE ALTO RENDIMIENTO EN ALTURA EN BOGOTÁ D.C.</t>
  </si>
  <si>
    <t>APROBACION DE COMITE TECNICO 310 DEL 15 DE NOVIEMBRE AL 18 DE NOVIEMBRE DE 2024, PRÓRROGA POR EL TERMINO DE DOS (2) MESES Y ADICIÓN POR VALOR DE $1.100.000.000, AL CONTRATO DE OBRA NO. 3-1-102452-COI-1364-94 (PAF-ATMINDEPORTES-O-025-2023), POR CONCEPTO DE MAYORES CANTIDADES DE OBRA COMO RESULTADO DEL DESARROLLO DE LAS OBRAS DE ETAPA II EN EL PROYECTO ELABORACIÓN DE ESTUDIOS Y DISEÑOS Y OBRAS DE ADECUACIÓN, MANTENIMIENTO Y/O REFORZAMIENTO ESTRUCTURAL DE LAS EDIFICACIONES DENTRO DEL CENTRO DE ALTO RENDIMIENTO EN ALTURA EN BOGOTÁ D.C.</t>
  </si>
  <si>
    <t>CANCELADO. INTERVENTORIA DESARROLLO DE LAS OBRAS DE ETAPA II EN EL PROYECTO ELABORACIÓN DE ESTUDIOS Y DISEÑOS Y OBRAS DE ADECUACIÓN, MANTENIMIENTO Y/O REFORZAMIENTO ESTRUCTURAL DE LAS EDIFICACIONES DENTRO DEL CENTRO DE ALTO RENDIMIENTO EN ALTURA EN BOGOTÁ D.C.</t>
  </si>
  <si>
    <t>Cancelado</t>
  </si>
  <si>
    <t>PRORROGA NO 2 POR EL TÉRMINO DE CINCO (05) MESES Y DIECISEIS (16) DIAS Y ADICION NO 2 POR VALOR DE VALOR DE SESENTA Y SEIS MILLONES TRECIENTOS SETENTA Y DOS MIL DOSCIENTOS CINCUENTA PESOS ($ 66.372.250) AL CONTRATO DE INTERVENTORÍA NO. 3-1-102452-COI-1364-46 (PAF-ATMINDEPORTE-I-046-2022) DEL PROYECTO “MEJORAMIENTO Y ADECUACIÓN DE LA UNIDAD DEPORTIVA BERNARDO MESA ABADIA DE APIA, RISARALDA”</t>
  </si>
  <si>
    <t>APROBACION DE COMITE TECNICO 310 DEL 15 DE NOVIEMBRE AL 19 DE NOVIEMBRE DE 2024, PRORROGA NO 2 POR EL TÉRMINO DE CINCO (05) MESES Y DIECISEIS (16) DIAS Y ADICION NO 2 POR VALOR DE VALOR DE SESENTA Y SEIS MILLONES TRECIENTOS SETENTA Y DOS MIL DOSCIENTOS CINCUENTA PESOS ($ 66.372.250) AL CONTRATO DE INTERVENTORÍA NO. 3-1-102452-COI-1364-46 (PAF-ATMINDEPORTE-I-046-2022) DEL PROYECTO “MEJORAMIENTO Y ADECUACIÓN DE LA UNIDAD DEPORTIVA BERNARDO MESA ABADIA DE APIA, RISARALDA”</t>
  </si>
  <si>
    <t>MUNICIPIO DE APIA</t>
  </si>
  <si>
    <t>5m16d</t>
  </si>
  <si>
    <t>PRORROGA NO 3 POR EL TÉRMINO DE DOS (02) MES Y QUINCE (15) DIAS CALENDARIO Y ADICION NO 2 POR VALOR DE NOVENTA Y NUEVE MILLONES TRESCIENTOS TREINTA Y CUATRO MIL CIENTO SESENTA Y SEIS PESOS M/CTE ($99.334.166,00) AL CONTRATO DE INTERVENTORÍA N.º 3-1-102452-COI-1364-02 (PAF-ATMINDEPORTE-I-013-2022) DEL PROYECTO “CONSTRUCCIÓN DEL COLISEO DE COMBATE YUBERGEN MARTÍNEZ, EN EL MUNICIPIO DE CHIGORODÓ, ANTIOQUIA”</t>
  </si>
  <si>
    <t>APROBACION DE COMITE TECNICO 311 DEL 22 DE NOVIEMBRE AL 25 DE NOVIEMBRE DE 2024, PRORROGA NO 3 POR EL TÉRMINO DE DOS (02) MES Y QUINCE (15) DIAS CALENDARIO Y ADICION NO 2 por VALOR DE NOVENTA Y NUEVE MILLONES TRESCIENTOS TREINTA Y CUATRO MIL CIENTO SESENTA Y SEIS PESOS M/CTE ($99.334.166,00) AL CONTRATO DE INTERVENTORÍA N.º 3-1-102452-COI-1364-02 (PAF-ATMINDEPORTE-I-013-2022) DEL PROYECTO “CONSTRUCCIÓN DEL COLISEO DE COMBATE YUBERGEN MARTÍNEZ, EN EL MUNICIPIO DE CHIGORODÓ, ANTIOQUIA”</t>
  </si>
  <si>
    <t>00965</t>
  </si>
  <si>
    <t>MUNICIPIO DE CHIGORODÓ</t>
  </si>
  <si>
    <t>CANCELADO. PRÓRROGA DEL PLAZO DE EJECUCIÓN POR DOS (2) MESES Y ADICIÓN POR VALOR DE $1.100.000.000, AL CONTRATO DE OBRA NO. 3-1-102452-COI-1364-94 (PAF-ATMINDEPORTES-O-025-2023), POR CONCEPTO DE MAYORES CANTIDADES DE OBRA COMO RESULTADO DEL DESARROLLO DE LAS OBRAS DE ETAPA II EN EL PROYECTO ELABORACIÓN DE ESTUDIOS Y DISEÑOS Y OBRAS DE ADECUACIÓN, MANTENIMIENTO Y/O REFORZAMIENTO ESTRUCTURAL DE LAS EDIFICACIONES DENTRO DEL CENTRO DE ALTO RENDIMIENTO EN ALTURA EN BOGOTÁ D.C.</t>
  </si>
  <si>
    <t>APROBACION DE COMITE TECNICO 311 DEL 22 DE NOVIEMBRE AL 25 DE NOVIEMBRE DE 2024, PRÓRROGA DEL PLAZO DE EJECUCIÓN POR DOS (2) MESES Y ADICIÓN POR VALOR DE $1.100.000.000, AL CONTRATO DE OBRA NO. 3-1-102452-COI-1364-94 (PAF-ATMINDEPORTES-O-025-2023), POR CONCEPTO DE MAYORES CANTIDADES DE OBRA COMO RESULTADO DEL DESARROLLO DE LAS OBRAS DE ETAPA II EN EL PROYECTO ELABORACIÓN DE ESTUDIOS Y DISEÑOS Y OBRAS DE ADECUACIÓN, MANTENIMIENTO Y/O REFORZAMIENTO ESTRUCTURAL DE LAS EDIFICACIONES DENTRO DEL CENTRO DE ALTO RENDIMIENTO EN ALTURA EN BOGOTÁ D.C.</t>
  </si>
  <si>
    <t>CANCELADO. PRÓRROGA DEL PLAZO DE EJECUCIÓN POR DOS (2) MESES Y ADICIÓN POR VALOR DE $ 67.652.413,00, AL CONTRATO DE INTERVENTORÍA NO. 3-1-102452-COI-1364-95 (PAF-ATMINDEPORTE-I-002-2023), POR CONCEPTO DE MAYORES CANTIDADES DE OBRA COMO RESULTADO DEL DESARROLLO DE LAS OBRAS DE ETAPA II EN EL PROYECTO ELABORACIÓN DE ESTUDIOS Y DISEÑOS Y OBRAS DE ADECUACIÓN, MANTENIMIENTO Y/O REFORZAMIENTO ESTRUCTURAL DE LAS EDIFICACIONES DENTRO DEL CENTRO DE ALTO RENDIMIENTO EN ALTURA EN BOGOTÁ D.C.</t>
  </si>
  <si>
    <t>APROBACION DE COMITE TECNICO 311 DEL 22 DE NOVIEMBRE AL 25 DE NOVIEMBRE DE 2024, PRÓRROGA DEL PLAZO DE EJECUCIÓN POR DOS (2) MESES Y ADICIÓN POR VALOR DE $ 67.652.413,00, AL CONTRATO DE INTERVENTORÍA NO. 3-1-102452-COI-1364-95 (PAF-ATMINDEPORTE-I-002-2023), POR CONCEPTO DE MAYORES CANTIDADES DE OBRA COMO RESULTADO DEL DESARROLLO DE LAS OBRAS DE ETAPA II EN EL PROYECTO ELABORACIÓN DE ESTUDIOS Y DISEÑOS Y OBRAS DE ADECUACIÓN, MANTENIMIENTO Y/O REFORZAMIENTO ESTRUCTURAL DE LAS EDIFICACIONES DENTRO DEL CENTRO DE ALTO RENDIMIENTO EN ALTURA EN BOGOTÁ D.C.</t>
  </si>
  <si>
    <t>PRORROGA No 1 POR EL TÉRMINO DE UN (01) MES Y ADICIÓN No 1 POR VALOR DOSCIENTOS SETENTA Y OCHO MILLONES CUATROCIENTOS TREINTA Y OCHO MIL CIENTO SETENTA Y NUEVE PESOS M/CTE ($278.438.179) AL CONTRATO DE OBRA No. 3-1-102452-COI-1364-110 (PAF-ATMINDEPORTE-O-108-2023) QUE TIENE POR OBJETO LA “REVISIÓN, AJUSTE Y COMPLEMENTACIÓN DE ESTUDIOS Y DISEÑOS Y, LA CONSTRUCCIÓN DE CUBIERTA PARA PLACA POLIDEPORTIVA DE LA VEREDA LA PALMA DEL MUNICIPIO DE GIRARDOTA, DEPARTAMENTO DE ANTIOQUIA.”</t>
  </si>
  <si>
    <t>APROBACION DE COMITE TECNICO 311 DEL 22 DE NOVIEMBRE AL 25 DE NOVIEMBRE DE 2024, PRORROGA No 1 POR EL TÉRMINO DE UN (01) MES Y ADICIÓN No 1 POR VALOR DOSCIENTOS SETENTA Y OCHO MILLONES CUATROCIENTOS TREINTA Y OCHO MIL CIENTO SETENTA Y NUEVE PESOS M/CTE ($278.438.179) AL CONTRATO DE OBRA No. 3-1-102452-COI-1364-110 (PAF-ATMINDEPORTE-O-108-2023) QUE TIENE POR OBJETO LA “REVISIÓN, AJUSTE Y COMPLEMENTACIÓN DE ESTUDIOS Y DISEÑOS Y, LA CONSTRUCCIÓN DE CUBIERTA PARA PLACA POLIDEPORTIVA DE LA VEREDA LA PALMA DEL MUNICIPIO DE GIRARDOTA, DEPARTAMENTO DE ANTIOQUIA.”</t>
  </si>
  <si>
    <t>PRÓRROGA No 1 POR EL TÉRMINO DE UN (1) MES Y ADICIÓN No 1 POR VALOR DE CUARENTA Y TRES MILLONES TRESCIENTOS DOS MIL SEISCIENTOS VEINTISÉIS PESOS M/CTE ($43.302.626) AL CONTRATO DE INTERVENTORÍA No. 3-1-102452-COI-1364-108 (PAF-ATMINDEPORTE-I-103-2023) QUE TIENE POR OBJETO “INTERVENTORÍA INTEGRAL (TÉCNICA, ADMINISTRATIVA, FINANCIERA, CONTABLE, AMBIENTAL, SOCIAL Y JURÍDICA) PARA LA REVISIÓN, AJUSTE Y COMPLEMENTACIÓN DE ESTUDIOS Y DISEÑOS Y, LA CONSTRUCCIÓN DE CUBIERTA PARA PLACA POLIDEPORTIVA DE LA VEREDA LA PALMA DEL MUNICIPIO DE GIRARDOTA, DEPARTAMENTO DE ANTIOQUIA.”</t>
  </si>
  <si>
    <t>APROBACION DE COMITE TECNICO 311 DEL 22 DE NOVIEMBRE AL 25 DE NOVIEMBRE DE 2024, PRÓRROGA No 1 POR EL TÉRMINO DE UN (1) MES Y ADICIÓN No 1 POR VALOR DE CUARENTA Y TRES MILLONES TRESCIENTOS DOS MIL SEISCIENTOS VEINTISÉIS PESOS M/CTE ($43.302.626) AL CONTRATO DE INTERVENTORÍA No. 3-1-102452-COI-1364-108 (PAF-ATMINDEPORTE-I-103-2023) QUE TIENE POR OBJETO “INTERVENTORÍA INTEGRAL (TÉCNICA, ADMINISTRATIVA, FINANCIERA, CONTABLE, AMBIENTAL, SOCIAL Y JURÍDICA) PARA LA REVISIÓN, AJUSTE Y COMPLEMENTACIÓN DE ESTUDIOS Y DISEÑOS Y, LA CONSTRUCCIÓN DE CUBIERTA PARA PLACA POLIDEPORTIVA DE LA VEREDA LA PALMA DEL MUNICIPIO DE GIRARDOTA, DEPARTAMENTO DE ANTIOQUIA.”</t>
  </si>
  <si>
    <t>Adición por el valor de CIENTO SIETE MILLONES TRESCIENTOS CUARENTA MIL SETECIENTOS NOVENTA Y DOS PESOS MCTE ($107.340.792), al contrato de obra No. 3-1-102452-COI-1364-115 (PAF-ATMINDEPORTE-O-044-2024), CUYO OBJETO ES “REVISIÓN, AJUSTE Y COMPLEMENTACIÓN DE ESTUDIOS Y DISEÑOS Y LA CONSTRUCCIÓN DE PLACA POLIDEPORTIVA CUBIERTA EN LA VEREDA BAMBOLEO, MUNICIPIO DE LA VEGA CAUCA” por concepto de ajustes a los diseños de etapa 1.</t>
  </si>
  <si>
    <t>0m</t>
  </si>
  <si>
    <t>Adición por el valor de CIENTO CINCUENTA Y CUATRO MILLONES OCHOCIENTOS CINCUENTA Y SEIS MIL SETENTA Y SIETE PESOS M/CTE. ($154.856.077,00), al contrato de obra No. 3-1-102452-COI-1364-118 PAF-ATMINDEPORTE-O-052-2024, CUYO OBJETO ES “REVISIÓN, AJUSTE Y COMPLEMENTACIÓN DE ESTUDIOS Y DISEÑOS Y, LA CONSTRUCCIÓN POLIDEPORTIVO PARA LA VEREDA LA ESTELA, RESGUARDO INDÍGENA DE PANIQUITA, MUNICIPIO DE TOTORÓ - DEPARTAMENTO DEL CAUCA.” por concepto de mayores cantidades de obra y modificaciones sujeto de la verificación y apropiación de la Etapa I.</t>
  </si>
  <si>
    <t>ADICIÓN No. 2 AL CONTRATO DE OBRA No. 3-1-102452-COI-1364-110 (PAF-ATMINDEPORTE-O-108-2023) CON OBJETO “REVISIÓN, AJUSTE Y COMPLEMENTACIÓN DE ESTUDIOS Y DISEÑOS Y, LA CONSTRUCCIÓN DE CUBIERTA PARA PLACA POLIDEPORTIVA DE LA VEREDA LA PALMA DEL MUNICIPIO DE GIRARDOTA, DEPARTAMENTO DE ANTIOQUIA.”, POR VALOR OCHENTA Y OCHO (88.000.000) MILLONES DE PESOS M/CTE.</t>
  </si>
  <si>
    <t>Obra contrapartida</t>
  </si>
  <si>
    <t>APROBACION DE COMITE TECNICO 318 DEL 26 DE DICIEMBRE AL 27 DE DICIEMBRE DE 2024, ADICIÓN No. 2 AL CONTRATO DE OBRA No. 3-1-102452-COI-1364-110 (PAF-ATMINDEPORTE-O-108-2023) CON OBJETO “REVISIÓN, AJUSTE Y COMPLEMENTACIÓN DE ESTUDIOS Y DISEÑOS Y, LA CONSTRUCCIÓN DE CUBIERTA PARA PLACA POLIDEPORTIVA DE LA VEREDA LA PALMA DEL MUNICIPIO DE GIRARDOTA, DEPARTAMENTO DE ANTIOQUIA.”, POR VALOR OCHENTA Y OCHO (88.000.000) MILLONES DE PESOS M/CTE.</t>
  </si>
  <si>
    <t>MUNICIPIO DE GIRARDOTA</t>
  </si>
  <si>
    <t>PRÓRROGA DEL PLAZO DE EJECUCIÓN POR DOS (2) MESES Y ADICIÓN POR VALOR DE $1.100.000.000, AL CONTRATO DE OBRA NO. 3-1-102452-COI-1364-94 (PAF-ATMINDEPORTES-O-025-2023) QUE TIENE POR OBJETO: “ELABORACIÓN DE ESTUDIOS Y DISEÑOS Y OBRAS DE ADECUACIÓN, MANTENIMIENTO Y/O REFORZAMIENTO ESTRUCTURAL DE LAS EDIFICACIONES DENTRO DEL CENTRO DE ALTO RENDIMIENTO EN ALTURA EN BOGOTÁ D.C.”, POR CONCEPTO DE MAYORES CANTIDADES DE OBRA COMO RESULTADO DEL DESARROLLO DE LAS OBRAS DE ETAPA II.</t>
  </si>
  <si>
    <t>PRÓRROGA DEL PLAZO DE EJECUCIÓN POR DOS (2) MESES Y ADICIÓN POR VALOR DE $67.652.413,00, AL CONTRATO DE INTERVENTORÍA NO. 3-1-102452-COI-1364-95 (PAF-ATMINDEPORTE-I-002-2023), QUE TIENE POR OBJETO: “INTERVENTORÍA INTEGRAL (TÉCNICA, ADMINISTRATIVA, FINANCIERA, CONTABLE, AMBIENTAL, SOCIAL Y JURÍDICA) PARA LA ELABORACION DE ESTUDIOS Y DISEÑOS Y OBRAS DE ADECUACION, MANTENIMIENTO Y/O REFORZAMIENTO ESTRUCTURAL DE LAS EDIFICACIONES DENTRO DEL CENTRO DE ALTO RENDIMIENTO EN ALTURA EN BOGOTÁ D.C.”, POR CONCEPTO DE MAYORES CANTIDADES DE OBRA COMO RESULTADO DEL DESARROLLO DE LAS OBRAS DE ETAPA II.</t>
  </si>
  <si>
    <t>ADICIÓN 2 EN LA SUMA DE VEINTIÚN MILLONES DOSCIENTOS SETENTA Y CINCO MIL NOVECIENTOS CINCO PESOS ($ 21.275.905) MCTE, DE CONFORMIDAD CON EL CERTIFICADO DE DISPONIBILIDAD PRESUPUESTAL NO. 2024100003 DE FECHA 10 DE OCTUBRE DE 2024, Y PRÓRROGA 2 AL CONTRATO DE INTERVENTORIA NO. 3-1-102452-COI-1364-34 (PAF-ATMINDEPORTE-I-056-2022) POR EL TÉRMINO DE DOS (2) MESES, DEL PROYECTO QUE TIENE POR OBJETO: REVISIÓN DE ESTUDIOS Y DISEÑOS Y LA “INTERVENTORÍA INTEGRAL (ADMINISTRATIVA, FINANCIERA, CONTABLE, AMBIENTAL, SOCIAL, JURÍDICA Y TÉCNICA) PARA LA CONSTRUCCIÓN DE LA PRIMERA ETAPA DE UN POLIDEPORTIVO CUBIERTO, MUNICIPIO DE GUACAMAYAS, DEPARTAMENTO DE BOYACÁ.</t>
  </si>
  <si>
    <t>APROBACION DE COMITE TECNICO 321 DEL 20 DE ENERO DE 2025, ADICIÓN 2 EN LA SUMA DE VEINTIÚN MILLONES DOSCIENTOS SETENTA Y CINCO MIL NOVECIENTOS CINCO PESOS ($ 21.275.905) MCTE, DE CONFORMIDAD CON EL CERTIFICADO DE DISPONIBILIDAD PRESUPUESTAL NO. 2024100003 DE FECHA 10 DE OCTUBRE DE 2024, Y PRÓRROGA 2 AL CONTRATO DE INTERVENTORIA NO. 3-1-102452-COI-1364-34 (PAF-ATMINDEPORTE-I-056-2022) POR EL TÉRMINO DE DOS (2) MESES, DEL PROYECTO QUE TIENE POR OBJETO: REVISIÓN DE ESTUDIOS Y DISEÑOS Y LA “INTERVENTORÍA INTEGRAL (ADMINISTRATIVA, FINANCIERA, CONTABLE, AMBIENTAL, SOCIAL, JURÍDICA Y TÉCNICA) PARA LA CONSTRUCCIÓN DE LA PRIMERA ETAPA DE UN POLIDEPORTIVO CUBIERTO, MUNICIPIO DE GUACAMAYAS, DEPARTAMENTO DE BOYACÁ.</t>
  </si>
  <si>
    <t>Municipio de Guacamayas</t>
  </si>
  <si>
    <t>PRÓRROGA 1 POR EL TÉRMINO DE (3) MESES Y ADICIÓN DE $ 49.304.786,27, DEL CONTRATO DE INTERVENTORÍA N°3-1-102452-COI-1364-31 (PAF-ATMINDEPORTE-I-038-2022) QUE TIENE POR OBJETO LA 'REVISIÓN DE ESTUDIOS Y DISEÑOS' Y LA 'INTERVENTORÍA INTEGRAL (ADMINISTRATIVA, FINANCIERA, CONTABLE, AMBIENTAL, SOCIAL, JURÍDICA Y TÉCNICA) A LA CONSTRUCCIÓN DE PARQUE RECREODEPORTIVO 'SACUDETE FRESNO' DEL MUNICIPIO DE FRESNO TOLIMA</t>
  </si>
  <si>
    <t>Municipio de Fresno</t>
  </si>
  <si>
    <t xml:space="preserve">PRORROGA No. 5 POR EL TÉRMINO DE VEINTE (20) DÍAS Y ADICIÓN No. 3 POR EL VALOR DE $52.978.222,00 AL CONTRATO DE INTERVENTORÍA No. 3-1-102452-COI-1364-02 (PAF-ATMINDEPORTE-I-013-2022) DEL PROYECTO “CONSTRUCCIÓN DEL COLISEO DE COMBATE YUBERGEN MARTÍNEZ, EN EL MUNICIPIO DE CHIGORODÓ, ANTIOQUIA”, CON CARGO A LOS RECURSOS DEL CONVENIO INTERADMINSTRATIVO No. 220 DE 2025 </t>
  </si>
  <si>
    <t>00075</t>
  </si>
  <si>
    <t>PRORROGA NO. 6 POR EL TÉRMINO DE UN (1) MES Y ADICIÓN NO. 4 POR EL VALOR DE ($52.978.222,00) CON CARGO A LOS RECURSOS DEL CONVENIO INTERADMINSTRATIVO NO. 220 DE 2025 AL CONTRATO DE INTERVENTORÍA NO. 3-1-102452-COI-1364-02 (PAF-ATMINDEPORTE-I-013-2022) DEL PROYECTO “CONSTRUCCIÓN DEL COLISEO DE COMBATE YUBERGEN MARTÍNEZ, EN EL MUNICIPIO DE CHIGORODÓ, ANTIOQUIA”, EL PAGO DE LA ADICIÓN SE REALIZARÁ A TRAVÉS DE UN SOLO PAGO ACORDE A LO ESTABLECIDO EN EL CONVENIO NO. 220 DE 2025 Y CUBRIRÁ EL 100% DE LOS COSTOS DE INTERVENTORÍA POR EL TIEMPO PRORROGADO.</t>
  </si>
  <si>
    <t>PRÓRROGA No. 2 POR EL TÉRMINO DE CUARENTA Y CINCO (45) DÍAS Y ADICIÓN No. 2 POR EL VALOR DE SETENTA MILLONES DE PESOS ($70.000.000,00) AL CONTRATO DE INTERVENTORÍA No. 3- 1-102452-COI-1364-97 (PAF-ATMINDEPORTE-I-023-2023), SUSCRITO ENTRE BBVA ASSET MANAGEMENT S.A. SOCIEDAD FIDUCIARIA, QUIEN ACTÚA COMO VOCERA Y ADMINISTRADORA DEL PATRIMONIO MATRIZ DE ASISTENCIA TÉCNICA FINDETER Y UNIÓN TEMPORAL FASE 23</t>
  </si>
  <si>
    <t>APROBACION DE COMITE TECNICO 334  DEL 10 DE MARZO AL 11 DE MARZO DE 2025, PRÓRROGA No. 2 POR EL TÉRMINO DE CUARENTA Y CINCO (45) DÍAS Y ADICIÓN No. 2 POR EL VALOR DE SETENTA MILLONES DE PESOS ($70.000.000,00) AL CONTRATO DE INTERVENTORÍA No. 3- 1-102452-COI-1364-97 (PAF-ATMINDEPORTE-I-023-2023), SUSCRITO ENTRE BBVA ASSET MANAGEMENT S.A. SOCIEDAD FIDUCIARIA, QUIEN ACTÚA COMO VOCERA Y ADMINISTRADORA DEL PATRIMONIO MATRIZ DE ASISTENCIA TÉCNICA FINDETER Y UNIÓN TEMPORAL FASE 23</t>
  </si>
  <si>
    <t>Municipio de Cértegui</t>
  </si>
  <si>
    <t xml:space="preserve">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Los recursos para la adicion del contrato derivado provienen de la fuente de contrapartida del municipio de Certegui, en virtud del convenio interadministrativo 126 de 2022, con el cual el municipio se obliga a aportar la suma de $140.000.000,00 M/CTE. El valor a desembolsar es por $70.000.000,00, valor que es ampara presupuestalmente la presente Constancia de Disponibilidad de Recursos presupuestales. </t>
  </si>
  <si>
    <t>1m45d</t>
  </si>
  <si>
    <t>SOLICITUD DE PRÓRROGA NO. 4 Y ADICIÓN AL CONTRATO DE INTERVENTORÍA NO. 3-1-102452-COI-1364-03 (PAF-ATMINDEPORTE-I-010-2022), CUYO OBJETO ES: “LA REVISIÓN A ESTUDIOS Y DISEÑOS Y LA INTERVENTORÍA INTEGRAL (ADMINISTRATIVA, FINANCIERA, CONTABLE, AMBIENTAL, SOCIAL, JURÍDICA Y TÉCNICA) A LA CONSTRUCCIÓN DE PISTA DE CICLOMONTAÑISMO Y SENDERISMO DE MIRAMAR BARRANQUILLA” POR DOS (2) MESES Y UN (1) DÍA DESDE EL 17 DE MARZO DE 2025 AL 18 DE MAYO DE 2025 Y POR VALOR DE $50.215.787,00</t>
  </si>
  <si>
    <t xml:space="preserve">'Se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Los recursos para la adicion del contrato derivado provienen de la fuente de contrapartida del Distrito de Barranquilla, en virtud del convenio interadministrativo CD-58-2023-7737, con el cual el municipio se obliga a aportar la suma de $50.215.787,00 M/CTE. Valor que es ampara presupuestalmente la presente Constancia de Disponibilidad de Recursos presupuestales. </t>
  </si>
  <si>
    <t>2m1d</t>
  </si>
  <si>
    <t>ADICIÓN POR EL VALOR DE CIENTO SESENTA Y CINCO MILLONES PESOS M/CTE ($165.000.000,00) AL CONTRATO DE OBRA NO. 3-1-102452-COL-1364-120 (PAF-ATMINDEPORTE-0-048-2024) QUE TIENE POR OBJETO: “REVISION, AJUSTE Y COMPLEMENTACIÓN DE ESTUDIOS Y DISEÑOS Y, LA CONSTRUCCIÓN DEL COMPLEJO RECREODEPORTIVO TERCERA ETAPA DEL PARQUE DE LA VIDA (FASE 1) EN EL MUNICIPIO DE SAN JOSÉ DEL GUAVIARE.” POR CONCEPTO DE AJUSTES A LOS DISEÑOS DE ETAPA 1.</t>
  </si>
  <si>
    <t>APROBACION DE COMITE TECNICO 336 DEL 19 DE MARZO DE 2025</t>
  </si>
  <si>
    <t>SOLICITUD PRÓRROGA No. 2 POR EL TÉRMINO DE CUATRO (4) MESES Y ADICIÓN No. 2 POR EL VALOR DE TRESCIENTOS TREINTA Y CINCO MILLONES CUATROCIENTOS UN MIL QUINIENTOS PESOS $335.401.500,00 AL CONTRATO DE INTERVENTORIA No. 3-1-102452-COI-1364-05 (PAF-ATMINDEPORTE-I-012-2022), DEL PROYECTO CONSTRUCCION COMPLEJO DEPORTIVO EN EL SECTOR LA MESETA DEL MUNICIPIO DE GIRON, DEPARTAMENTO DE SANTANDER.</t>
  </si>
  <si>
    <t>APROBACION DE COMITE TECNICO 341  DEL 7 DE ABRIL DE 2025 AL 8 DE ABRIL DE 2025</t>
  </si>
  <si>
    <t xml:space="preserve"> PRÓRROGA No. 7 POR EL TÉRMINO DE UN (1) MES Y ADICIÓN No. 5 POR EL VALOR DE ($52.978.222,00) AL CONTRATO DE INTERVENTORÍA No. 3-1-102452-COI-1364-02 (PAF-ATMINDEPORTE-I-013-2022) DEL PROYECTO “CONSTRUCCIÓN DEL COLISEO DE COMBATE YUBERGEN MARTÍNEZ, EN EL MUNICIPIO DE CHIGORODÓ, ANTIOQUIA</t>
  </si>
  <si>
    <t>APROBACION DE COMITE TECNICO 243  DEL 13 DE ABRIL AL 15 DE ABRIL DE 2025, PRÓRROGA No. 7 POR EL TÉRMINO DE UN (1) MES Y ADICIÓN No. 5 POR EL VALOR DE ($52.978.222,00) AL CONTRATO DE INTERVENTORÍA No. 3-1-102452-COI-1364-02 (PAF-ATMINDEPORTE-I-013-2022) DEL PROYECTO “CONSTRUCCIÓN DEL COLISEO DE COMBATE YUBERGEN MARTÍNEZ, EN EL MUNICIPIO DE CHIGORODÓ, ANTIOQUIA”.</t>
  </si>
  <si>
    <t>PRÓRROGA No. 3 POR EL TÉRMINO DE UN (1) MES Y QUINCE (15) DÍAS Y ADICIÓN No. 3 POR EL VALOR DE SETENTA MILLONES DE PESOS ($70.000.000,00) AL CONTRATO DE INTERVENTORÍA No. 3- 1-102452-COI-1364-97 (PAF-ATMINDEPORTE-I-023-2023), SUSCRITO ENTRE BBVA ASSET MANAGEMENT S.A. SOCIEDAD FIDUCIARIA, QUIEN ACTÚA COMO VOCERA Y ADMINISTRADORA DEL PATRIMONIO MATRIZ DE ASISTENCIA TÉCNICA FINDETER Y UNIÓN TEMPORAL FASE 23</t>
  </si>
  <si>
    <t>APROBACION DE COMITE TECNICO 344 DEL 21 DE ABRIL DE 2025, PRÓRROGA No. 3 POR EL TÉRMINO DE UN (1) MES Y QUINCE (15) DÍAS Y ADICIÓN No. 3 POR EL VALOR DE SETENTA MILLONES DE PESOS ($70.000.000,00) AL CONTRATO DE INTERVENTORÍA No. 3- 1-102452-COI-1364-97 (PAF-ATMINDEPORTE-I-023-2023), SUSCRITO ENTRE BBVA ASSET MANAGEMENT S.A. SOCIEDAD FIDUCIARIA, QUIEN ACTÚA COMO VOCERA Y ADMINISTRADORA DEL PATRIMONIO MATRIZ DE ASISTENCIA TÉCNICA FINDETER Y UNIÓN TEMPORAL FASE 23</t>
  </si>
  <si>
    <t>PRÓRROGA DEL PLAZO DE EJECUCIÓN POR DOS (2) MESES Y VEINTIDÓS (22) DÍAS Y ADICIÓN POR EL VALOR DE CIENTO CUATRO MILLONES DOSCIENTOS DIECISEIS MIL SETECIENTOS SIETE PESOS M/CTE ($104.216.707) PARA EL CONTRATO DE INTERVENTORÍA NO. 3-1-102452-COI-1364-35 (PAF-ATMINDEPORTE-I-058-2022).</t>
  </si>
  <si>
    <t>APROBACION COMITE TECNICO 356 del 02/07/2025 al 03/07/2025, Prórroga del plazo de ejecución por dos (2) meses y veintidós (22) días y adición por el valor de CIENTO CUATRO MILLONES DOSCIENTOS DIECISEIS MIL SETECIENTOS SIETE PESOS M/CTE ($104.216.707) para el contrato de interventoría No. 3-1-102452-COI-1364-35 (PAF-ATMINDEPORTE-I-058-2022).</t>
  </si>
  <si>
    <t>PRÓRROGA DEL PLAZO DE EJECUCIÓN POR UN (1) MESES Y ADICIÓN POR VALOR DE $281.537.052,00 AL CONTRATO DE OBRA NO. 3-1-102452-COI-1364-94 (PAF-ATMINDEPORTES-O-025-2023) QUE TIENE POR OBJETO: “ELABORACIÓN DE ESTUDIOS Y DISEÑOS Y OBRAS DE ADECUACIÓN, MANTENIMIENTO Y/O REFORZAMIENTO ESTRUCTURAL DE LAS EDIFICACIONES DENTRO DEL CENTRO DE ALTO RENDIMIENTO EN ALTURA EN BOGOTÁ D.C.”, POR CONCEPTO DE MAYORES CANTIDADES DE OBRA COMO RESULTADO DEL DESARROLLO DE LAS OBRAS DE ETAPA II.</t>
  </si>
  <si>
    <t xml:space="preserve">( 50, 40,10)PRÓRROGA DEL PLAZO DE EJECUCIÓN POR UN (01) MES Y ADICIÓN POR VALOR DE $44.031.661,00, AL CONTRATO DE INTERVENTORÍA NO. 3-1-102452-COI-1364-95 (PAF-ATMINDEPORTE-I-002-2023), POR CONCEPTO DE MAYORES CANTIDADES DE OBRA COMO RESULTADO DEL DESARROLLO DE LAS OBRAS DE ETAPA II. </t>
  </si>
  <si>
    <t>REVISIÓN, APROPIACIÓN, AJUSTE Y COMPLEMENTACIÓN A LOS ESTUDIOS Y DISEÑOS Y EJECUCIÓN DE LAS OBRAS PARA LA REMODELACIÓN DEL DESPACHO DEL MINISTERIO DEL DEPORTE, UBICADO EN LA SEDE ADMINISTRATIVA EN LA CIUDAD DE BOGOTA.</t>
  </si>
  <si>
    <t>PAF-ATMINDEPORTE-O-040-2025</t>
  </si>
  <si>
    <t>Solicitud: ADICIÓN POR EL VALOR DE SESENTA Y CUATRO MILLONES NOVENTA Y UN MIL NOVECIENTOS CUARENTA Y SEIS PESOS M/CTE ($64.091.946,00) AL CONTRATO DE INTERVENTORÍA 3-1-102452-COI-1364-64 (PAF-ATMINDEPORTE-I-093-2022) QUE TIENE COMO OBJETO LA REVISIÓN DE ESTUDIOS Y DISEÑOS Y LA INTERVENTORÍA INTEGRAL (ADMINISTRATIVA, FINANCIERA, CONTABLE, AMBIENTAL, SOCIAL, JURÍDICA Y TÉCNICA) PARA LA CONSTRUCCIÓN DE PATINÓDROMO EL CONDE DE CUCHICUTE EN EL MUNICIPIO DE SAN GIL.</t>
  </si>
  <si>
    <t>APROBACION DE COMITE TECNICO Aprobacion de comite tecnico 367 del 27 de agosto de 2025, ADICIÓN POR EL VALOR DE SESENTA Y CUATRO MILLONES NOVENTA Y UN MIL NOVECIENTOS CUARENTA Y SEIS PESOS M/CTE ($64.091.946,00) AL CONTRATO DE INTERVENTORÍA 3-1-102452-COI-1364-64 (PAF-ATMINDEPORTE-I-093-2022) QUE TIENE COMO OBJETO LA REVISIÓN DE ESTUDIOS Y DISEÑOS Y LA INTERVENTORÍA INTEGRAL (ADMINISTRATIVA, FINANCIERA, CONTABLE, AMBIENTAL, SOCIAL, JURÍDICA Y TÉCNICA) PARA LA CONSTRUCCIÓN DE PATINÓDROMO EL CONDE DE CUCHICUTE EN EL MUNICIPIO DE SAN GIL.</t>
  </si>
  <si>
    <t>Adición 2 por la suma de CUARENTA Y DOS MILLONES TRESCIENTOS SESENTA Y SIETE MIL TRESCIENTOS CUARENTA Y OCHO PESOS CON NOVENTA Y TRES CENTAVOS M/CTE ($42.367.348,93), al contrato de interventoría No. 3-1-102452-COI-1364-72 (PAF-ATMINDEPORTE-I-131-2022) el cual se pagará en dos pagos iguales mensuales.</t>
  </si>
  <si>
    <t>APROBACION DE COMITE TECNICO Aprobacion de comite tecnico 366 del 21 de agosto de 2025 al 22 de agosto de 2025, Adición 2 por la suma de CUARENTA Y DOS MILLONES TRESCIENTOS SESENTA Y SIETE MIL TRESCIENTOS CUARENTA Y OCHO PESOS CON NOVENTA Y TRES CENTAVOS M/CTE ($42.367.348,93), al contrato de interventoría No. 3-1-102452-COI-1364-72 (PAF-ATMINDEPORTE-I-131-2022) el cual se pagará en dos pagos iguales mensuales.</t>
  </si>
  <si>
    <t>Municipio de Samaná</t>
  </si>
  <si>
    <t>municipio</t>
  </si>
  <si>
    <t>(50-40-10) PRÓRROGA NO. 3 POR EL TÉRMINO DE DOS (2) MESES No. 3-1-102452-COI-1364-05(PAF-ATMINDEPORTE-I-012-2022), DEL PROYECTO CONSTRUCCION COMPLEJO DEPORTIVO EN EL SECTOR LA MESETA DEL MUNICIPIO DE GIRON, DEPARTAMENTO DE SANTANDER; APROBAR LA ADICIÓN NO. 3 POR EL VALOR DE CIENTO SESENTA Y SIETE MILLONES SETECIENTOS MIL SETECIENTOS CINCUENTA PESOS M/CTE ($167.700.750,00), CON CARGO AL CONVENIO INTERADMINISTRATIVO NO. 0314 DE 2025 CELEBRADO ENTRE FINDETER Y EL MUNICIPIO DE GIRÓN (SANTANDER), EL CUAL SERÁ PAGADO CONFORME A LA FORMA DE PAGO PACTADA EN EL CONTRATO DE INTERVENTORIA No. 3-1-102452-COI-1364-05 (PAF-ATMINDEPORTE-I-012-2022); ACLARAR LA NOTA CONTENIDA EN LA CLÁUSULA CUARTA – FORMA DE PAGO DEL CONTRATO DE INTERVENTORÍA DEL CONTRATO DE INTERVENTORÍA NO. 33-1-102452-COI-1364-64 (PAF-ATMINDEPORTE-I-093-2022), LA CUAL QUEDARÍA REDACTADA EN LOS SIGUIENTES TÉRMINOS:</t>
  </si>
  <si>
    <t>APROBACION DE COMITE TECNICO 372</t>
  </si>
  <si>
    <t>250078</t>
  </si>
  <si>
    <t>Municipio de Girón</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</si>
  <si>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Los recursos para la adicion del contrato derivado provienen de la fuente de contrapartida del municipio de Giron, en virtud del convenio interadministrativo 0314 de 2025, con el cual el municipio se obliga a aportar la suma de $167.500.000,00 M/CTE</t>
  </si>
  <si>
    <t>Prorrogar por el término de dos (02) meses el Contrato de Interventoría N° 3-1-102452-COI-1364-31 (PAF-ATMINDEPORTE-I-038-2022) que tiene por objeto la 'REVISIÓN DE ESTUDIOS Y DISEÑOS' y la 'INTERVENTORÍA INTEGRAL (ADMINISTRATIVA, FINANCIERA, CONTABLE, AMBIENTAL, SOCIAL, JURÍDICA Y TÉCNICA) A LA CONSTRUCCIÓN DE PARQUE RECREODEPORTIVO 'SACUDETE FRESNO' DEL MUNICIPIO DE FRESNO TOLIMA, Adicionar el Contrato de Interventoría No 3-1-102452-COI-1364-31 (PAF-ATMINDEPORTE-I-038-2022) por un valor de $48.149.960,88. Dicha adición se asumida con cargo a los recursos del Patrimonio Autónomo del Contrato Interadministrativo No 1364 de 2021 y se pagará conforme lo establecido en la CLAUSULA CUARTA de FORMA DE PAGO y modificar el PARÁGRAFO SEGUNDO de la CLÁUSULA CUARTA. - FORMA DE PAGO del Contrato de Interventoría No 3-1-102452-COI-1364-31 (PAF-ATMINDEPORTE-I-038-2022), así:
“PARÁGRAFO SEGUNDO: En los casos en que sea necesaria la suscripción de prórrogas al contrato de interventoría por causas imputables al contratista de obra, para efectos de la respectiva adición, únicamente se pagarán el equivalente al porcentaje de los costos fijos, de conformidad con la forma de pago durante el término de prórroga.</t>
  </si>
  <si>
    <t>COMITE TECNICO 374</t>
  </si>
  <si>
    <t>PRÓRROGA No. 1 POR EL TÉRMINO DE CUATRO (4) MESES AL CONTRATO DE OBRA No. 3-1-102452-COI-1364-88 (PAF-ATMINDEPORTE-O-013-2023) QUE TIENE COMO OBJETO LA “REVISIÓN, AJUSTE Y COMPLEMENTACIÓN DE ESTUDIOS Y DISEÑOS Y CONSTRUCCIÓN DEL COLISEO POLIDEPORTIVO Y RECREATIVO LA POLA EN EL MUNICIPIO DE LA CRUZ, DEPARTAMENTO DE NARIÑO”, APROBAR LA ADICIÓN No. 2 POR EL VALOR DE SEISCIENTOS NOVENTA Y NUEVE MILLONES NOVECIENTOS NOVENTA Y NUEVE MIL NOVECIENTOS NOVENTA Y SEIS PESOS ($699.999.996,00) AL CONTRATO DE OBRA No. 3-1-102452-COI-1364-88 (PAF-ATMINDEPORTE-O-013-2023). DICHA ADICIÓN SE HARÁ CON CARGO A LOS RECURSOS DEL CONVENIO INTERADMINISTRATIVO No GN3985-2025 SUSCRITO ENTRE FINDETER, EL DEPARTAMENTO DE NARIÑO Y EL MUNICIPIO Y EL CDP No 2025070247 DEL 17 DE JULIO DE 2025. DE IGUAL FORMA, ESTA ADICIÓN SE PAGARÁ AL CONTRATISTA CONFORME LO ESTABLECIDO EN LA CLÁUSULA CUARTA - FORMA DE PAGO DEL CONTRATO DE OBRA.</t>
  </si>
  <si>
    <t>COMITÉ TÉCNICO N° 376</t>
  </si>
  <si>
    <t>Gobernación de Nariño</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</si>
  <si>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Los recursos para la adicion del contrato derivado provienen del convenio de adhesion del Departamento de Nariño, en virtud del convenio interadministrativo 008 de 2023, celebrado entre la Financiera del Desarrolloterritorla S.A - Findeter y el municipio de La Cruz Nariño</t>
  </si>
  <si>
    <t xml:space="preserve"> PRÓRROGA No. 1 POR EL TÉRMINO DE CUATRO (4) MESES AL CONTRATO DE INTERVENTORÍA No. 3-1-102452-COI-1364-92 (PAF-ATMINDEPORTE-I-009-2023), CUYO OBJETO ES “LA “INTERVENTORÍA INTEGRAL (TÉCNICA, ADMINISTRATIVA, FINANCIERA, CONTABLE, AMBIENTAL, SOCIAL Y JURÍDICA) PARA LA REVISIÓN, AJUSTE Y COMPLEMENTACIÓN DE ESTUDIOS Y DISEÑOS Y CONSTRUCCIÓN DEL COLISEO POLIDEPORTIVO Y RECREATIVO LA POLA EN EL MUNICIPIO DE LA CRUZ, DEPARTAMENTO DE NARIÑO”, APROBAR LA ADICIÓN No. 1 POR EL VALOR DE DOSCIENTOS CUATRO MILLONES CIENTO SESENTA Y TRES MIL SEISCIENTOS CINCUENTA Y TRES PESOS M/CTE ($204.163.653,00) AL CONTRATO DE INTERVENTORÍA No. 3-1-102452-COI-1364-92 (PAF-ATMINDEPORTE-I-009-2023), DICHA ADICIÓN SE HARÁ CON CARGO A LOS RECURSOS CON CARGO A LOS REURSOS DEL COM CARGO A LOS RECURSOS DEL CONTRATO INTERADMINISTRATIVO No. COI-1364 DE 2021, DE IGUAL FORMA, ESTA ADICIÓN SE PAGARÁ AL CONTRATISTA CONFORME LO ESTABLECIDO EN LA CLÁUSULA CUARTA - FORMA DE PAGO DEL CONTRATO DE INTERVENTORIA.</t>
  </si>
  <si>
    <t>COMITE TECNICO 376 del 09 de octubre de 2025</t>
  </si>
  <si>
    <t>ADICIÓN No. 3 POR VALOR DE CIENTO SETENTA Y NUEVE MILLONES DOS MIL TRESCIENTOS QUINCE PESOS ($ 179.002.315,00) AL CONTRATO DE INTERVENTORIA No. 3-1-102452-COI-1364-32 (PAF-ATMINDEPORTE-I-039-2022) CUYO OBJETO ES “REVISION DE ESTUDIOS Y DISEÑOS Y LA INTERVENTORIA INTEGRAL (ADMINISTRATIVA, FINANCIERA, CONTABLE, AMBIENTAL, SOCIAL, JURIDICA Y TECNICA) A LA CONSTRUCCION DE UNIDAD DEPORTIVA JUAN GUILLERMO CUADRADO, EN EL MUNICIPIO DE NECOCLI DEPARTAMENTO DE ANTIOQUIA.”. DICHA ADICIÓN SERÁ ASUMIDA CON CARGO A LOS RECUROS DEL MINISTERIO PATRIMONIO AUTONOMO Y SE SERAN CANCELADOS A LA INTERVENTORIA EN TRES PAGOS IGUALES</t>
  </si>
  <si>
    <t>APROBACION DE COMITE TECNICO 380 del 22 de octubre de 2025, APROBAR LA ADICIÓN No. 3 POR VALOR DE CIENTO SETENTA Y NUEVE MILLONES DOS MIL TRESCIENTOS QUINCE PESOS ($ 179.002.315,00) AL CONTRATO DE INTERVENTORIA No. 3-1-102452-COI-1364-32 (PAF-ATMINDEPORTE-I-039-2022) CUYO OBJETO ES “REVISION DE ESTUDIOS Y DISEÑOS Y LA INTERVENTORIA INTEGRAL (ADMINISTRATIVA, FINANCIERA, CONTABLE, AMBIENTAL, SOCIAL, JURIDICA Y TECNICA) A LA CONSTRUCCION DE UNIDAD DEPORTIVA JUAN GUILLERMO CUADRADO, EN EL MUNICIPIO DE NECOCLI DEPARTAMENTO DE ANTIOQUIA.”. DICHA ADICIÓN SERÁ ASUMIDA CON CARGO A LOS RECUROS DEL MINISTERIO PATRIMONIO AUTONOMO Y SE SERAN CANCELADOS A LA INTERVENTORIA EN TRES PAGOS IGUALES..</t>
  </si>
  <si>
    <t>RÓRROGA POR EL TÉRMINO DE TRES (03) MESES Y DIEZ (10) DÍAS Y ADICIÓN POR VALOR DE NOVECIENTOS NOVENTA MILLONES TRESCIENTOS SESENTA Y DOS MIL SEISCIENTOS CINCUENTA Y SIETE PESOS M/CTE ($990.362.657,00) PARA EL CONTRATO DE OBRA NO. 3-1-102452-COI-1364-94 (PAF-ATMINDEPORTES-O-025-2023) CUYO OBJETO ES LA “ELABORACIÓN DE ESTUDIOS Y DISEÑOS Y OBRAS DE ADECUACIÓN, MANTENIMIENTO Y/O REFORZAMIENTO ESTRUCTURAL DE LAS EDIFICACIONES DENTRO DEL CENTRO DE ALTO RENDIMIENTO EN ALTURA EN BOGOTÁ D.C.”. ESTA ADICIÓN SERÁ ASUMIDA CON CARGO A LOS RECURSOS DEL CONTRATO INTERADMINISTRATIVO NO. COI-1364-2021 DE 2021 Y SE PAGARA CONFORME LO ESTABLECIDO EN LA CLÁUSULA DE FORMA DE PAGO DEL CONTRATO DE OBRA.</t>
  </si>
  <si>
    <t xml:space="preserve">COMITE TECNICO 381 del 27 de octubre de 2025, </t>
  </si>
  <si>
    <t>( 50, 40,10)prórroga por el término de TRES (03) MESES Y DIEZ (10) DÍAS y adición por valor de CIENTO CUARENTA Y SEIS MILLONES SETECIENTOS SETENTA Y DOS MIL DOSCIENTOS TRES PESOS M/CTE $146.772.203,00 para el Contrato de Interventoría No. 3-1-102452-COI-1364-95 (PAF-ATMINDEPORTE-I-002-2023), cuyo objeto es “INTERVENTORÍA INTEGRAL (TÉCNICA, ADMINISTRATIVA, FINANCIERA, CONTABLE, AMBIENTAL, SOCIAL Y JURÍDICA) PARA LA ELABORACION DE ESTUDIOS Y DISEÑOS Y OBRAS DE ADECUACION, MANTENIMIENTO Y/O REFORZAMIENTO ESTRUCTURAL DE LAS EDIFICACIONES DENTRO DEL CENTRO DE ALTO RENDIMIENTO EN ALTURA EN BOGOTÁ D.C.” Esta adición será asumida con cargo a los recursos del Contrato Interadministrativo No. COI-1364-2021 de 2021 y se pagara  de la siguiente manera 60% costos fijos y 40% costos variables</t>
  </si>
  <si>
    <t>50, 40, 10ADICIÓN NO. 4 POR EL VALOR DE DOSCIENTOS DIECISIETE MILLONES TRESCIENTOS NOVENTA Y TRES MIL SEISCIENTOS UN PESOS M/CTE ($217.393.601,00), CON CARGO AL CONVENIO INTERADMINISTRATIVO NO. 0314 DE 2025 CELEBRADO ENTRE FINDETER Y EL MUNICIPIO DE GIRÓN (SANTANDER), EL CUAL SERÁ PAGADO CONFORME A LA FORMA DE PAGO PACTADA EN EL CONTRATO DE INTERVENTORIA No. 3-1-102452-COI-1364-05 (PAF-ATMINDEPORTE-I-012-2022)</t>
  </si>
  <si>
    <t>APROBACION DE COMITE TECNICO 393</t>
  </si>
  <si>
    <t>2500988</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</si>
  <si>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Los recursos para la adicion del contrato derivado provienen de la fuente de contrapartida del municipio de Giron, en virtud del convenio interadministrativo 0314 de 2025, con el cual el municipio se obliga a aportar la suma de $217.393.601,00 M/CTE</t>
  </si>
  <si>
    <t>(OBRA)   ADICIÓN POR VALOR DE CIENTO CINCUENTA MILLONES ($150.000.000,00) DE PESOS AL CONTRATO DE OBRA NO. 3-1-102452-COI-1364-109 (PAF-ATMINDEPORTE-O-063-2023), POR CONCEPTO DE MAYORES CANTIDADES DE OBRA EJECUTADAS EN LA ETAPA II, PROYECTO CUYO OBJETO ES "REVISIÓN, AJUSTE Y COMPLEMENTACIÓN DE ESTUDIOS Y DISEÑOS Y CONSTRUCCIÓN DE CANCHA POLIFUNCIONAL EN EL CENTRO POBLADO DE YARIMA EN EL MUNICIPIO DE SAN VICENTE DEL CHUCURI, SANTANDER.”. ESTA ADICIÓN SE PAGARÁ CONFORME LO ESTABLECIDO EN LA FORMA DE PAGO DEL CONTRATO DE OBRA Y SERÁ ASUMIDA CON CARGOS A LOS RECURSOS DEL PATRIMONIO AUTÓNOMO.</t>
  </si>
  <si>
    <t>APROBACION DE COMITE TECNICO 385  CONCEPTO DE MAYORES CANTIDADES DE OBRA COMO RESULTADO DE LOS ESTUDIOS HECHOS EN LA ETAPA I E INCLUSIÓN DE  APU´S DE LOS ITEMS NO PREVISTOS POR CONCEPTO DE MAYORES CANTIDADES DE OBRA COMO RESULTADO DE LOS ESTUDIOS HECHOS EN LA ETAPA I</t>
  </si>
  <si>
    <t>“DOTACIÓN E INSTALACIÓN DE MOBILIARIO ESPECIALIZADO PARA EL ARCHIVO CENTRAL – CENTRO DE ALTO RENDIMIENTO EN BOGOTÁ D.C.”</t>
  </si>
  <si>
    <t>ESTUDIOS PREVIOS FINALES APROBADOS POR GERENTE DE INFRAESTRUCTURA Y VICEPRESIDENTE TECNICO</t>
  </si>
  <si>
    <t>ANULADO</t>
  </si>
  <si>
    <t>ANULADO EL 25/02/2026</t>
  </si>
  <si>
    <t>CONTRATAR LA “REVISIÓN, AJUSTE, APROPIACIÓN Y COMPLEMENTACIÓN DE ESTUDIOS Y DISEÑOS Y, LA CONSTRUCCIÓN DE UN PARQUE RECREODEPORTIVO Y UN CIRCUITO DE PATINAJE EN EL CORREGIMIENTO LOMA DE CALENTURAS, MUNICIPIO DE EL PASO, DEPARTAMENTO DEL CESAR”.</t>
  </si>
  <si>
    <t>EL PASO</t>
  </si>
  <si>
    <t>CÉSAR</t>
  </si>
  <si>
    <t>PAF-ATMINDEPORTE-O-007-2026</t>
  </si>
  <si>
    <t>Obra liberación</t>
  </si>
  <si>
    <t>Liberación  PAF-ATMINDEPORTE-O-016-2023</t>
  </si>
  <si>
    <t>Liberación  PAF-ATMINDEPORTE-O-016-2023 cdp 9822</t>
  </si>
  <si>
    <t>Liberación  PAF-ATMINDEPORTE-O-016-2023 CDP 9822</t>
  </si>
  <si>
    <t>Recreativo</t>
  </si>
  <si>
    <t>ESTUDIO PREVIO PARA CONTRATAR LA “INTERVENTORÍA INTEGRAL (TÉCNICA, ADMINISTRATIVA, FINANCIERA, CONTABLE, AMBIENTAL, SOCIAL Y JURÍDICA) PARA LA REVISIÓN, AJUSTE, APROPIACIÓN Y COMPLEMENTACIÓN DE ESTUDIOS Y DISEÑOS Y, LA CONSTRUCCIÓN DE UN PARQUE RECREODEPORTIVO Y UN CIRCUITO DE PATINAJE EN EL CORREGIMIENTO LOMA DE CALENTURAS, MUNICIPIO DE EL PASO, DEPARTAMENTO DEL CESAR”</t>
  </si>
  <si>
    <t>Interventoría liberación</t>
  </si>
  <si>
    <t>Liberación  PAF-ATMINDEPORTE-O-016-2023 176921</t>
  </si>
  <si>
    <t>PAF-ATMINDEPORTE-I-026-2026</t>
  </si>
  <si>
    <t>CONSORCIO INTER-CESAR</t>
  </si>
  <si>
    <t>ESTUDIO PREVIO PARA CONTRATAR LA “REVISIÓN, AJUSTE, APROPIACIÓN Y COMPLEMENTACIÓN DE LOS ESTUDIOS Y DISEÑOS Y EJECUCIÓN DE LAS OBRAS DE CONSTRUCCIÓN, MEJORAMIENTO Y REMODELACIÓN DE LA CANCHA DE FÚTBOL DEL MUNICIPIO DE EBÉJICO, ANTIOQUIA”.</t>
  </si>
  <si>
    <t>EBÉJICO</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</si>
  <si>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por valor actual de CIENTO OCHENTA Y OCHO MIL QUINIENTOS VENTISIETE MILLONES QUINIENTOS VENTISEIS MIL TRESCIENTOS CINCUENTA Y CUATRO PESOS CON SETENTA Y NUEVE CENTAVOS MONEDA CORRIENTE ($188.527.526.354.69 M/CTE)</t>
  </si>
  <si>
    <t>en curso</t>
  </si>
  <si>
    <t>Dotación</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</si>
  <si>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por valor actual de CIENTO OCHENTA Y OCHO MIL QUINIENTOS VENTISIETE MILLONES QUINIENTOS VENTISEIS MIL TRESCIENTOS CINCUENTA Y CUATRO PESOS CON SETENTA Y NUEVE CENTAVOS MONEDA CORRIENTE ($188.527.526.354.69 M/CTE)</t>
  </si>
  <si>
    <t xml:space="preserve">ESTUDIO PREVIO PARA CONTRATAR LA “INTERVENTORÍA INTEGRAL (TÉCNICA, ADMINISTRATIVA, FINANCIERA, CONTABLE, AMBIENTAL, SOCIAL Y JURÍDICA) PARA LA “REVISIÓN, AJUSTE, APROPIACIÓN Y COMPLEMENTACIÓN DE LOS ESTUDIOS Y DISEÑOS Y EJECUCIÓN DE LAS OBRAS DE CONSTRUCCIÓN, MEJORAMIENTO Y REMODELACIÓN DE LA CANCHA DE FÚTBOL DEL MUNICIPIO DE EBÉJICO, ANTIOQUIA”. </t>
  </si>
  <si>
    <t>Liberación,</t>
  </si>
  <si>
    <t xml:space="preserve">“INTERVENTORÍA INTEGRAL (ADMINISTRATIVA, FINANCIERA, CONTABLE, AMBIENTAL, SOCIAL, JURÍDICA Y TÉCNICA) A LA EJECUCIÓN DE LOS PROYECTOS DE INFRAESTRUCTURA DEPORTIVA PRIORIZADOS POR EL MINISTERIO DEL DEPORTE – GRUPO 1.  </t>
  </si>
  <si>
    <t>MONTERIA, SINCELEJO, CIENAGA DE ORO, TOLÚ</t>
  </si>
  <si>
    <t>GRUPO 1</t>
  </si>
  <si>
    <t>PAF-ATMINDEPORTE-I-023-2026</t>
  </si>
  <si>
    <t xml:space="preserve">“INTERVENTORÍA INTEGRAL (ADMINISTRATIVA, FINANCIERA, CONTABLE, AMBIENTAL, SOCIAL, JURÍDICA Y TÉCNICA) A LA EJECUCIÓN DE LOS PROYECTOS DE INFRAESTRUCTURA DEPORTIVA PRIORIZADOS POR EL MINISTERIO DEL DEPORTE – GRUPO 2.  </t>
  </si>
  <si>
    <t>CHINU, PLANETA RICA, TOLUVIEJO, SAN CRISTOBAL</t>
  </si>
  <si>
    <t>GRUPO 2</t>
  </si>
  <si>
    <t>'Se realiza CDR 288 Amparado por el CDP 2226 el cual se encuentra amparados mediante CDP 2226 oficio radicado mediante el oficio de Solicitud de Vigencias Futuras 225 del 24 de octubre de 2025, en el cual el MHCP autorizó el cupo de vigencias futuras ordinarias 2026.</t>
  </si>
  <si>
    <t>PAF-ATMINDEPORTE-I-021-2026</t>
  </si>
  <si>
    <t xml:space="preserve">ESTUDIO PREVIO PARA CONTRATAR LA “INTERVENTORÍA INTEGRAL (ADMINISTRATIVA, FINANCIERA, CONTABLE, AMBIENTAL, SOCIAL, JURÍDICA Y TÉCNICA) A LA EJECUCIÓN DE LOS PROYECTOS DE INFRAESTRUCTURA DEPORTIVA PRIORIZADOS POR EL MINISTERIO DEL DEPORTE – GRUPO 3.  </t>
  </si>
  <si>
    <t>SARAVENA, GUADUAS, OROCUÉ</t>
  </si>
  <si>
    <t>GRUPO 3</t>
  </si>
  <si>
    <t>Se realiza CDR 289 Amparado por el CDP 2226 el cual se encuentra amparados mediante CDP 2226 oficio radicado mediante el oficio de Solicitud de Vigencias Futuras 225 del 24 de octubre de 2025, en el cual el MHCP autorizó el cupo de vigencias futuras ordinarias 2026.</t>
  </si>
  <si>
    <t>PAF-ATMINDEPORTE-I-024-2026</t>
  </si>
  <si>
    <t>ESTUDIO PREVIO PARA CONTRATAR “LA REVISION, AJUSTE, COMPLEMENTACIÓN Y APROPIACIÓN DE ESTUDIOS Y DISEÑOS, DIAGNÓSTICO DE OBRAS EXISTENTES Y LA EJECUCIÓN DE LAS OBRAS DE ADECUACION, MANTENIMIENTO Y CONSTRUCCION DEL ALCANTARILLADO DEL CENTRO DE ALTO RENDIMIENTO UBICADO EN LA CIUDAD DE BOGOTA D.C”.</t>
  </si>
  <si>
    <t>PAF-ATMINDEPORTE-O-014-2026</t>
  </si>
  <si>
    <t>ESTUDIO PREVIO PARA CONTRATAR LA “INTERVENTORÍA INTEGRAL (ADMINISTRATIVA, FINANCIERA, CONTABLE, AMBIENTAL, SOCIAL, JURÍDICA Y TÉCNICA) A LA CONSTRUCCIÓN DE LA PRIMERA ETAPA DEL CENTRO DE ALTO RENDIMIENTO DEPORTIVO REGIONAL EN EL MUNICIPIO DE APARTADÓ, – DEPARTAMENTO DE ANTIOQUIA</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</si>
  <si>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por valor actual de CIENTO OCHENTA Y OCHO MIL QUINIENTOS VENTISIETE MILLONES QUINIENTOS VENTISEIS MIL TRESCIENTOS CINCUENTA Y CUATRO PESOS CON SETENTA Y NUEVE CENTAVOS MONEDA CORRIENTE ($188.527.526.354.69 M/CTE) Se realiza CDR 290 De acuerdo al comité técnico 398 del 13 de marzo de 2026 y comité Fiduciario 391 del 16 de marzo de 2026 en el que se aprueba la liberación de los recursos por un valor de SEISCIENTOS VEINTIOCHO MILLONES DOSCIENTOS VEINTINUEVE MIL DOSCIENTOS DIECISÉIS PESOS CON DIECISIETE CENTAVOS ($628.229.216,17) dentro del Contrato de Obra No. 3 1 102452 COI 1364 114 (PAF ATMINDEPORTE O 027 2024), en cumplimiento de las disposiciones contractuales aplicables, las directrices impartidas por el Ministerio y los principios de eficiencia, responsabilidad y adecuada destinación de los recursos públicos, de igual manera se menciona Aplicar la CLÁUSULA VIGÉSIMO CUARTA. - CLÁUSULA PENAL por valor de CIENTO OCHENTA Y DOS MILLONES OCHOCIENTOS SEIS MIL QUINIENTOS CUARENTA PESOS M/CTE ($182.806.540,00) al Contrato de Obra No. 3-1-102452-COI-1364-114 (PAF-ATMINDEPORTE-O-027-2024) que tiene por objeto “La revisión, elaboración y complementación de estudios y diseños y las obras de adecuación, mantenimiento y construcción del alcantarillado del centro de alto rendimiento ubicado en la ciudad de Bogotá D.C” conforme lo establecido en la CLÁUSULA VIGESIMOQUINTA. - PROCEDIMIENTO PARA APLICACIÓN DE LA CLÁUSULA DE APREMIO Y DE LA CLÁUSULA PENAL a JORGE ARMANDO ÁLVAREZ MEZA, contratista del contrato de obra</t>
  </si>
  <si>
    <t>PAF-ATMINDEPORTE-I-020-2026</t>
  </si>
  <si>
    <t>ESTUDIO PREVIO PARA CONTRATAR LA “INTERVENTORÍA INTEGRAL (TÉCNICA, ADMINISTRATIVA, FINANCIERA, CONTABLE, AMBIENTAL, SOCIAL Y JURÍDICA) A “LA REVISIÓN, AJUSTE, COMPLEMENTACIÓN Y APROPIACIÓN DE ESTUDIOS Y DISEÑOS, DIAGNÓSTICO DE OBRAS EXISTENTES Y LA EJECUCIÓN DE LAS OBRAS DE ADECUACIÓN, MANTENIMIENTO Y CONSTRUCCIÓN DEL ALCANTARILLADO DEL CENTRO DE ALTO RENDIMIENTO UBICADO EN LA CIUDAD DE BOGOTÁ D.C”.</t>
  </si>
  <si>
    <t>Se realiza esta solicitud en el marco del contrato de prestación de servicios de Asistencia Técnica y Administración De Recursos No. COI-1364-2021 celebrado entre el Ministerio del Deporte y Findeter quien actúa a través de Fiduciaria BBVA S.A. en calidad de vocera y administradora, por valor actual de CIENTO OCHENTA Y OCHO MIL QUINIENTOS VENTISIETE MILLONES QUINIENTOS VENTISEIS MIL TRESCIENTOS CINCUENTA Y CUATRO PESOS CON SETENTA Y NUEVE CENTAVOS MONEDA CORRIENTE ($188.527.526.354.69 M/CTE)  Se expide el CDR 292 para amparar el proceso de nueva convocatoria indicado, teniendo en cuenta que bajo el contrato de obra del PAF-ATMINDEPORTE-O-027-2024  cuyo objeto fue “La revisión, elaboración y complementación de estudios y diseños y las obras de adecuación, mantenimiento y construcción del alcantarillado del centro de alto rendimiento ubicado en la ciudad de Bogotá D.C” y el contrato de interventoría asociado PAF-ATMINDEPORTE-I-022-2024, no se dio terminación a las obras del centro CAR. Mediante el comité Fiduciario 291 del 16 de marzo de 2026 se aprobó la liberación de recursos no ejecutados del contrato de obra por valor de SEISCIENTOS VEINTIOCHO MILLONES DOSCIENTOS VEINTINUEVE MIL DOSCIENTOS DIECISÉIS PESOS CON DIECISIETE CENTAVOS ($628.229.216,17) y se aprobó la aplicación de la CLÁUSULA VIGÉSIMO CUARTA CLÁUSULA PENAL por valor de CIENTO OCHENTA Y DOS MILLONES OCHOCIENTOS SEIS MIL QUINIENTOS CUARENTA PESOS M/CTE ($182.806.540,00) al mismo Contrato de Obra.
Dada la terminación consecuente del contrato de interventoría No. 3-1-102452-COI-1364-113 (PAFATMINDEPORTE-I-022-2024) que tiene por objeto la INTERVENTORÍA INTEGRAL (TÉCNICA, ADMINISTRATIVA, FINANCIERA, CONTABLE, AMBIENTAL, SOCIAL Y JURÍDICA) A LA REVISION, ELABORACIÓN Y COMPLEMENTACIÓN DE ESTUDIOS Y DISEÑOS Y LAS OBRAS DE ADECUACION, MANTENIMIENTO Y CONSTRUCCION DEL ALCANTARILLADO DEL CENTRO DE ALTO RENDIMIENTO UBICADO EN LA CIUDAD DE BOGOTA D.C., contrato en proceso de liquidación, se expide el CDR 292 para la apertura de una nueva convocatoria, que permita llevar a cabo la interventoría del nuevo contrato de obra para lograr el alcance del proyecto.</t>
  </si>
  <si>
    <t>PAF-ATMINDEPORTE-I-022-2026</t>
  </si>
  <si>
    <t xml:space="preserve">PRÓRROGA POR EL TÉRMINO DE UN (01) MES Y ADICIÓN POR VALOR DE $16.089.153,00 PARA EL CONTRATO DE INTERVENTORÍA NO. 3-1-102452-COI-1364-35 (PAF-ATMINDEPORTE-I-058-2022), CUYO OBJETO ES “REVISIÓN A ESTUDIOS Y DISEÑOS Y LA INTERVENTORÍA INTEGRAL (ADMINISTRATIVA, FINANCIERA, CONTABLE, AMBIENTAL, SOCIAL, JURÍDICA Y TÉCNICA) PARA EL MEJORAMIENTO ESTADIO MUNICIPAL MARISCAL SUCRE, FASE I, MUNICIPIO DE LA UNIÓN, NARIÑO. LA UNIÓN". ESTA ADICIÓN SERÁ PAGADA AL 100% EN LOS COSTOS FIJOS </t>
  </si>
  <si>
    <t>APROBACION DE COMITE TECNICO 406 del 9 de abril de 2026</t>
  </si>
  <si>
    <t>CONSORCIO LA UNIÓN 058</t>
  </si>
  <si>
    <t>ESTUDIO PREVIO PARA CONTRATAR “LA INTERVENTORÍA TÉCNICA, ADMINISTRATIVA, FINANCIERA, CONTABLE, AMBIENTAL, SOCIAL Y JURÍDICA PARA LA EJECUCIÓN DEL PROYECTO DENOMINADO CONSTRUCCIÓN DE PLACA POLIDEPORTIVA CUBIERTA EN LA COMUNIDAD INDÍGENA MONDÓ MONDOCITO, MUNICIPIO DE TADÓ, DEPARTAMENTO DEL CHOCÓ”.</t>
  </si>
  <si>
    <t>PAF-ATMINDEPORTE-I-035-2026</t>
  </si>
  <si>
    <t>ESTUDIO PREVIO PARA CONTRATAR LA “ADECUACIÓN Y MANTENIMIENTO DE LAS INSTALACIONES DEL CENTRO DE CIENCIAS DEL DEPORTE-CCD EN EL CENTRO DE ALTO RENDIMIENTO EN BOGOTÁ D.C.”</t>
  </si>
  <si>
    <t>Adjudicado Nación</t>
  </si>
  <si>
    <t>ValorC.I Interadministrativo</t>
  </si>
  <si>
    <t>*</t>
  </si>
  <si>
    <t>Comprometido nación</t>
  </si>
  <si>
    <t>**</t>
  </si>
  <si>
    <t>Asistencia técnica</t>
  </si>
  <si>
    <t>Disponibilidad Nación</t>
  </si>
  <si>
    <t>Liberaciones</t>
  </si>
  <si>
    <t>Disponinidad nación +liberaciones</t>
  </si>
  <si>
    <t>Subtotal:</t>
  </si>
  <si>
    <t>Comprometido Contrapartidas</t>
  </si>
  <si>
    <t>Asistencía técnica</t>
  </si>
  <si>
    <t>Total Compromisos</t>
  </si>
  <si>
    <t>Liberaciones estimadas CAR</t>
  </si>
  <si>
    <t>Saldos total (C.I-Compromisos)</t>
  </si>
  <si>
    <t>VALOR COMPROMETIDO CDR*</t>
  </si>
  <si>
    <t>Sub total</t>
  </si>
  <si>
    <t>Saldo recreativo</t>
  </si>
  <si>
    <t>Vf 2026</t>
  </si>
  <si>
    <t>Saldo Alto Rendimiento</t>
  </si>
  <si>
    <t>Total</t>
  </si>
  <si>
    <t>Nota: tener presente que los cdr´s de enero, febrero y marzo aún no se han adjudicado, por eso se van con el valor de los estudios previos</t>
  </si>
  <si>
    <t>Comprometido liberaciones</t>
  </si>
  <si>
    <t>CONTRATO INTERADMINISTRATIVO</t>
  </si>
  <si>
    <t>Total comprometido liberaciones</t>
  </si>
  <si>
    <t>VALOR INICIAL</t>
  </si>
  <si>
    <t>ADICION 1</t>
  </si>
  <si>
    <t>Liberaciones (recreativo)</t>
  </si>
  <si>
    <t>ADICION 2</t>
  </si>
  <si>
    <t>Concepto</t>
  </si>
  <si>
    <t xml:space="preserve">Valor </t>
  </si>
  <si>
    <t>Compromisos</t>
  </si>
  <si>
    <t>Valor</t>
  </si>
  <si>
    <t>Disponible X Comprometer</t>
  </si>
  <si>
    <t>Liberación N.1 PAF-ATMINDEPORTE-I-028-2022</t>
  </si>
  <si>
    <t>EL PASO CESAR CDP 176921</t>
  </si>
  <si>
    <t>CONTRATO INTERADMINISTRATIVO (A+F)</t>
  </si>
  <si>
    <t>Liberación N.2 PAF-ATMINDEPORTE-I-073-2022</t>
  </si>
  <si>
    <t>VALOR PROYECTOS (A)</t>
  </si>
  <si>
    <t>Liberación N.3 PAF-ATMINDEPORTE-I-057-2022</t>
  </si>
  <si>
    <t>EBEJICÓ CDP 176921</t>
  </si>
  <si>
    <t>VALOR ASISTENCIA TECNICA (F)</t>
  </si>
  <si>
    <t>Liberación N.4 PAF-ATMINDEPORTE-I-063-2022</t>
  </si>
  <si>
    <t>Liberación N.5 PAF-ATMINDEPORTE-I-132-2022</t>
  </si>
  <si>
    <t>Liberación N.6 PAF-ATMINDEPORTE-O-108-2022</t>
  </si>
  <si>
    <t>VALOR COMPROMETIDO CDR* (B)</t>
  </si>
  <si>
    <t>Liberación N.7 PAF-ATMINDEPORTE-O-016-2023</t>
  </si>
  <si>
    <t>EL PASO CESAR CDP 9822</t>
  </si>
  <si>
    <t>RECURSOS LIBERADOS (C)</t>
  </si>
  <si>
    <t>Liberación N.9 PAF-ATMINDEPORTE-O-105-2022</t>
  </si>
  <si>
    <t>DISPONIBILIDAD RECURSOS (D = A-B+C)</t>
  </si>
  <si>
    <t>Liberación N.8 PAF-ATMINDEPORTE-O-015-2023</t>
  </si>
  <si>
    <t>PENDIENTES CDR** (E)</t>
  </si>
  <si>
    <t>Disponible liberaciones</t>
  </si>
  <si>
    <t>SALDO DISPONIBLE (D-E)</t>
  </si>
  <si>
    <t>Liberaciones de Alto Rendimiento estimadas de acuerdo al comité técnico 398 del 13 de marzo y comité fiduciario 291 del 16 de mes de marzo de 2026</t>
  </si>
  <si>
    <t>* Incluye nuevas contrataciones (El paso (O+I); Ebéjico (O+I); CAR Mobiliario; Grupo 1,2 y 3 Inter)</t>
  </si>
  <si>
    <t>** Proyectos en estructuración (Carmen de Atrato (O+I); San José del Guaviare (O+I); CAR Alcantarillado (O+I); Adecuaciones CCD (O); Apartado (I) Tado (I)</t>
  </si>
  <si>
    <t>LIBERACIÓN PAF ATMINDEPORTE I 009 2022(Apartadó)</t>
  </si>
  <si>
    <t>LIBERACIÓN PAF-ATMINDEPORTE-O-027-2024 (CAR Btá)</t>
  </si>
  <si>
    <t>APREMIO PAF-ATMINDEPORTE-O-027-2024 (CAR Btá)</t>
  </si>
  <si>
    <t>TOTAL</t>
  </si>
  <si>
    <t>** Proyectos en estructuración (Carmen de Atrato (O+I); San José del Guaviare (O+I); CAR Alcantarillado (O+I Tado (I)</t>
  </si>
  <si>
    <t>Matriz ejecución contrato interadministrativo Findeter</t>
  </si>
  <si>
    <t>CONSORCIO INTERDEPORTIVO GH</t>
  </si>
  <si>
    <t>CONSORCIO INTERPARQUES 011</t>
  </si>
  <si>
    <t>CONSORCIO INTER-DEPORTES</t>
  </si>
  <si>
    <t>CONSORCIO VELNEC BRAIN</t>
  </si>
  <si>
    <t>CONSORCIO INTERDEPORTIVO MIRAMAR</t>
  </si>
  <si>
    <t>CONSORCIO TAYRONA</t>
  </si>
  <si>
    <t>CONSORCIO SAN BASILIO DE PALENQUE</t>
  </si>
  <si>
    <t>CONSORCIO DEPORTIVOS 2022</t>
  </si>
  <si>
    <t>REINEL ROLANDO ROMERO BENAVIDES</t>
  </si>
  <si>
    <t>UNIÓN TEMPORAL I.S.S</t>
  </si>
  <si>
    <t>CONSORCIO SAN RAFAEL 028</t>
  </si>
  <si>
    <t>INGECO INGENIERIA DE CONSTRUCCIÓN SAS</t>
  </si>
  <si>
    <t>CONSORCIO CÓRDOBAS 30</t>
  </si>
  <si>
    <t>CONSORCIO FERRER 27</t>
  </si>
  <si>
    <t>CONSORCIO VALENCIA LED 18</t>
  </si>
  <si>
    <t>CONSULTORES DEL OCCIDENTE SAS</t>
  </si>
  <si>
    <t>CONSORCIO RECREODEPORTIVO HELICONIA</t>
  </si>
  <si>
    <t>CONSORCIO INTERPARQUES 2022</t>
  </si>
  <si>
    <t>CONSORCIO RECREODEPORTIVO CERETÉ</t>
  </si>
  <si>
    <t>CONSORCIO FRESNO</t>
  </si>
  <si>
    <t>CONSORCIO  INTERVENTORES DEL URABÁ</t>
  </si>
  <si>
    <t>UT AMALFI</t>
  </si>
  <si>
    <t>CARLOS JULIO RODRIGUEZ PADILLA</t>
  </si>
  <si>
    <t>CONSORCIO INTERVENTORES SABANA</t>
  </si>
  <si>
    <t>ESTRUCTURAS INTERVENTORIAS Y PROYECTOS S.A.S – E.I.P.</t>
  </si>
  <si>
    <t>CONSORCIO VELNEC - SEIING</t>
  </si>
  <si>
    <t>UNIÓN TEMPORAL INTER DEPORTES CLEMENCIA 2022</t>
  </si>
  <si>
    <t>CONSORCIO POLIDEPORTIVO MORROA</t>
  </si>
  <si>
    <t>INGENOBRAS CONSTRUCCIÓN Y CONSULTORÍA S.A.S</t>
  </si>
  <si>
    <t>CONSORCIO R&amp;M Y MG.</t>
  </si>
  <si>
    <t>CONSORCIO INTERDEPORTIVOS 2022</t>
  </si>
  <si>
    <t>CONSORCIO SR 061</t>
  </si>
  <si>
    <t>CONSORCIO SR 060</t>
  </si>
  <si>
    <t>CONSORCIO YARUMAL 048</t>
  </si>
  <si>
    <t>INGENIEROS CIVILES ESPECIALISTAS S.A.S.</t>
  </si>
  <si>
    <t>CONSORCIO UNIDAD DEPORTIVA DE APIA</t>
  </si>
  <si>
    <t>CONSORCIO DLE SAN ANGEL 47</t>
  </si>
  <si>
    <t>CONSORCIO SR 065</t>
  </si>
  <si>
    <t>CONSORCIO SR 066</t>
  </si>
  <si>
    <t>CONSORCIO DEPORTIVOS VAUPÉS</t>
  </si>
  <si>
    <t>CONSORCIO C&amp;D</t>
  </si>
  <si>
    <t>CONSULTEC S.A.S.</t>
  </si>
  <si>
    <t>DONAL BOGOTÁ BAUTISTA</t>
  </si>
  <si>
    <t>BRAIN INGENIERIA VIAL S.A.S</t>
  </si>
  <si>
    <t>UT GALAPA</t>
  </si>
  <si>
    <t>--</t>
  </si>
  <si>
    <t>DAIMCO S.A.S</t>
  </si>
  <si>
    <t>UNIÓN TEMPORAL INTER DEPORTES MONTELIBANO 2022</t>
  </si>
  <si>
    <t>CONSORCIO DEPORTIVO BOGOTA</t>
  </si>
  <si>
    <t>UT FUSAGASUGA</t>
  </si>
  <si>
    <t>CONSORCIO INTERNOGAL</t>
  </si>
  <si>
    <t>CONSORCIO LA VIRGINIA</t>
  </si>
  <si>
    <t>CONSORCIO DEPORTIVO CRP</t>
  </si>
  <si>
    <t>MUNICIPIO DE TADÓ</t>
  </si>
  <si>
    <t>MUNICIPIO DE ATRATO</t>
  </si>
  <si>
    <t>MUNICIPIO EL CARMEN DE ATRATO</t>
  </si>
  <si>
    <t>MUNICIPIO DE BOJAYÁ</t>
  </si>
  <si>
    <t>MUNICIPIO CÉRTEGUI</t>
  </si>
  <si>
    <t>CONSORCIO CIUDAD BONITA</t>
  </si>
  <si>
    <t>CONSORCIO INTERCONSULTORES</t>
  </si>
  <si>
    <t>CONSORCIO PLACA POLIDEPORTIVA MUTATÁ</t>
  </si>
  <si>
    <t>CONSORCIO POLIDEPORTIVO MUTATÁ</t>
  </si>
  <si>
    <t>CONSORCIO SAN FRANCISCO 105</t>
  </si>
  <si>
    <t>CONSORCIO DEPORTIVO I2D</t>
  </si>
  <si>
    <t>CONSORCIO POLIDEPORTIVO DEL ROSARIO</t>
  </si>
  <si>
    <t>CONSORCIO NEO-ARM</t>
  </si>
  <si>
    <t>SEINGECOL S.A.S SERVICIO DE INGENIERIA COLOMBIANA</t>
  </si>
  <si>
    <t>FERNANDO JOSÉ SÁNCHEZ PARDO</t>
  </si>
  <si>
    <t>CONSORCIO ALTO RENDIMIENTO IF</t>
  </si>
  <si>
    <t>PROYECTISTAS ASOCIADOS S.A.S.</t>
  </si>
  <si>
    <t>MUNICIPIO ROBERTO PAYÁN</t>
  </si>
  <si>
    <t>UNIÓN TEMPORAL ORTIZ</t>
  </si>
  <si>
    <t xml:space="preserve">CONSORCIO GABRIELA BOGOTÁ </t>
  </si>
  <si>
    <t>CONSORCIO REAL MINDEPORTE 2023</t>
  </si>
  <si>
    <t>CONSORCIO HAMA 2023</t>
  </si>
  <si>
    <t>CONSORCIO OMEGA PARK 2023</t>
  </si>
  <si>
    <t>CONSORCIO INTERPARQUE DE PAILITAS</t>
  </si>
  <si>
    <t>CONSORCIO SACAMA 23</t>
  </si>
  <si>
    <t>CONSORCIO INTER SACAMA 2023</t>
  </si>
  <si>
    <t>UNIÓN TEMPORAL UNIDAD 24</t>
  </si>
  <si>
    <t>CONSORCIO PLACA POLIDEPORTIVA SABALETA</t>
  </si>
  <si>
    <t>BERAKAH INGENIERIA S.A.S</t>
  </si>
  <si>
    <t>CONSTRUOBRAS C&amp;M S.A.S</t>
  </si>
  <si>
    <t>CONSORCIO RECREODEPORTIVO EL MOLINO 2023</t>
  </si>
  <si>
    <t>B&amp;P CONSTRUCCIONES S.A.S.</t>
  </si>
  <si>
    <t>CONSORCIO DEPORTIVO SAN VICENTE DE CHUCURÍ</t>
  </si>
  <si>
    <t>CONSORCIO DEPORTIVO EP</t>
  </si>
  <si>
    <t>JORGE ARMANDO ÁLVAREZ MEZA</t>
  </si>
  <si>
    <t>ESPARZA INGENIERÍA S.A.S.</t>
  </si>
  <si>
    <t>CONSORCIO PARQUE</t>
  </si>
  <si>
    <t>UNIÓN TEMPORAL PARQUE SAN JOSE DEL GUAVIARE</t>
  </si>
  <si>
    <t>-</t>
  </si>
  <si>
    <t>Alto Rendimiento</t>
  </si>
  <si>
    <t>Indervalle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</si>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</sst>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 #,##0.00;[Red]\-&quot;$&quot;\ #,##0.00"/>
    <numFmt numFmtId="44" formatCode="_-&quot;$&quot;\ * #,##0.00_-;\-&quot;$&quot;\ * #,##0.00_-;_-&quot;$&quot;\ * &quot;-&quot;??_-;_-@_-"/>
    <numFmt numFmtId="43" formatCode="_-* #,##0.00_-;\-* #,##0.00_-;_-* &quot;-&quot;??_-;_-@_-"/>
    <numFmt numFmtId="164" formatCode="_-&quot;$&quot;* #,##0.00_-;\-&quot;$&quot;* #,##0.00_-;_-&quot;$&quot;* &quot;-&quot;??_-;_-@_-"/>
    <numFmt numFmtId="165" formatCode="_(&quot;$&quot;\ * #,##0.00_);_(&quot;$&quot;\ * \(#,##0.00\);_(&quot;$&quot;\ * &quot;-&quot;??_);_(@_)"/>
    <numFmt numFmtId="166" formatCode="_(&quot;$&quot;\ * #,##0_);_(&quot;$&quot;\ * \(#,##0\);_(&quot;$&quot;\ * &quot;-&quot;??_);_(@_)"/>
    <numFmt numFmtId="167" formatCode="0.0%"/>
    <numFmt numFmtId="168" formatCode="_-[$$-80A]* #,##0.00_-;\-[$$-80A]* #,##0.00_-;_-[$$-80A]* &quot;-&quot;??_-;_-@_-"/>
    <numFmt numFmtId="169" formatCode="&quot;$&quot;\ #,##0.00"/>
    <numFmt numFmtId="170" formatCode="_(* #,##0.00_);_(* \(#,##0.00\);_(* &quot;-&quot;??_);_(@_)"/>
    <numFmt numFmtId="171" formatCode="_-[$$-240A]\ * #,##0.00_-;\-[$$-240A]\ * #,##0.00_-;_-[$$-240A]\ *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Narrow"/>
      <family val="2"/>
    </font>
    <font>
      <b/>
      <sz val="10"/>
      <name val="Arial Narrow"/>
      <family val="2"/>
    </font>
    <font>
      <sz val="10"/>
      <color theme="1"/>
      <name val="Arial Narrow"/>
      <family val="2"/>
    </font>
    <font>
      <sz val="10"/>
      <color rgb="FF000000"/>
      <name val="Arial Narrow"/>
      <family val="2"/>
    </font>
    <font>
      <sz val="10"/>
      <color rgb="FFFF0000"/>
      <name val="Arial Narrow"/>
      <family val="2"/>
    </font>
    <font>
      <u/>
      <sz val="11"/>
      <color theme="10"/>
      <name val="Calibri"/>
      <family val="2"/>
      <scheme val="minor"/>
    </font>
    <font>
      <sz val="10"/>
      <name val="Arial Narrow"/>
      <family val="2"/>
    </font>
    <font>
      <sz val="10"/>
      <color rgb="FF242424"/>
      <name val="Arial Narrow"/>
      <family val="2"/>
    </font>
    <font>
      <sz val="10"/>
      <color theme="1"/>
      <name val="Times New Roman"/>
      <family val="1"/>
    </font>
    <font>
      <b/>
      <sz val="11"/>
      <color rgb="FF002060"/>
      <name val="Calibri"/>
      <family val="2"/>
      <scheme val="minor"/>
    </font>
    <font>
      <i/>
      <sz val="10"/>
      <color theme="1"/>
      <name val="Arial Narrow"/>
      <family val="2"/>
    </font>
    <font>
      <b/>
      <i/>
      <sz val="10"/>
      <color theme="1"/>
      <name val="Arial Narrow"/>
      <family val="2"/>
    </font>
    <font>
      <b/>
      <sz val="11"/>
      <color rgb="FFFF0000"/>
      <name val="Calibri"/>
      <family val="2"/>
      <scheme val="minor"/>
    </font>
    <font>
      <sz val="10"/>
      <color theme="1"/>
      <name val="Calibri"/>
      <family val="2"/>
      <scheme val="minor"/>
    </font>
    <font>
      <b/>
      <sz val="9"/>
      <color indexed="81"/>
      <name val="Tahoma"/>
      <family val="2"/>
    </font>
    <font>
      <sz val="9"/>
      <color indexed="81"/>
      <name val="Tahoma"/>
      <family val="2"/>
    </font>
    <font>
      <b/>
      <sz val="28"/>
      <color theme="1"/>
      <name val="Verdana"/>
      <family val="2"/>
    </font>
  </fonts>
  <fills count="22">
    <fill>
      <patternFill patternType="none"/>
    </fill>
    <fill>
      <patternFill patternType="gray125"/>
    </fill>
    <fill>
      <patternFill patternType="solid">
        <fgColor rgb="FFFFFF00"/>
        <bgColor indexed="64"/>
      </patternFill>
    </fill>
    <fill>
      <patternFill patternType="solid">
        <fgColor theme="5" tint="-0.249977111117893"/>
        <bgColor indexed="64"/>
      </patternFill>
    </fill>
    <fill>
      <patternFill patternType="solid">
        <fgColor rgb="FFFFC000"/>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00B0F0"/>
        <bgColor indexed="64"/>
      </patternFill>
    </fill>
    <fill>
      <patternFill patternType="solid">
        <fgColor theme="8" tint="0.39997558519241921"/>
        <bgColor indexed="64"/>
      </patternFill>
    </fill>
    <fill>
      <patternFill patternType="solid">
        <fgColor rgb="FF92D050"/>
        <bgColor indexed="64"/>
      </patternFill>
    </fill>
    <fill>
      <patternFill patternType="solid">
        <fgColor theme="6"/>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FF"/>
        <bgColor rgb="FF000000"/>
      </patternFill>
    </fill>
  </fills>
  <borders count="12">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8" fillId="0" borderId="0" applyNumberFormat="0" applyFill="0" applyBorder="0" applyAlignment="0" applyProtection="0"/>
    <xf numFmtId="165" fontId="1" fillId="0" borderId="0" applyFont="0" applyFill="0" applyBorder="0" applyAlignment="0" applyProtection="0"/>
    <xf numFmtId="43" fontId="1" fillId="0" borderId="0" applyFont="0" applyFill="0" applyBorder="0" applyAlignment="0" applyProtection="0"/>
  </cellStyleXfs>
  <cellXfs count="174">
    <xf numFmtId="0" fontId="0" fillId="0" borderId="0" xfId="0"/>
    <xf numFmtId="0" fontId="5" fillId="0" borderId="0" xfId="0" applyFont="1"/>
    <xf numFmtId="165" fontId="5" fillId="0" borderId="0" xfId="4" applyFont="1" applyFill="1" applyBorder="1" applyAlignment="1">
      <alignment vertical="center" wrapText="1"/>
    </xf>
    <xf numFmtId="8" fontId="5" fillId="0" borderId="0" xfId="0" applyNumberFormat="1" applyFont="1" applyAlignment="1">
      <alignment vertical="center"/>
    </xf>
    <xf numFmtId="8" fontId="5" fillId="0" borderId="0" xfId="0" applyNumberFormat="1" applyFont="1" applyAlignment="1">
      <alignment horizontal="right" vertical="center"/>
    </xf>
    <xf numFmtId="165" fontId="5" fillId="0" borderId="0" xfId="0" quotePrefix="1" applyNumberFormat="1" applyFont="1" applyAlignment="1">
      <alignment vertical="center" wrapText="1"/>
    </xf>
    <xf numFmtId="16" fontId="5" fillId="0" borderId="0" xfId="0" applyNumberFormat="1" applyFont="1" applyAlignment="1">
      <alignment vertical="center" wrapText="1"/>
    </xf>
    <xf numFmtId="3" fontId="5" fillId="0" borderId="0" xfId="0" applyNumberFormat="1" applyFont="1"/>
    <xf numFmtId="9" fontId="5" fillId="0" borderId="0" xfId="3" applyFont="1"/>
    <xf numFmtId="165" fontId="5" fillId="0" borderId="0" xfId="0" applyNumberFormat="1" applyFont="1" applyAlignment="1">
      <alignment vertical="center" wrapText="1"/>
    </xf>
    <xf numFmtId="165" fontId="5" fillId="0" borderId="0" xfId="0" quotePrefix="1" applyNumberFormat="1" applyFont="1" applyAlignment="1">
      <alignment vertical="center"/>
    </xf>
    <xf numFmtId="44" fontId="5" fillId="0" borderId="0" xfId="2" applyFont="1"/>
    <xf numFmtId="10" fontId="5" fillId="0" borderId="0" xfId="3" applyNumberFormat="1" applyFont="1"/>
    <xf numFmtId="9" fontId="5" fillId="0" borderId="0" xfId="3" applyFont="1" applyFill="1"/>
    <xf numFmtId="168" fontId="5" fillId="0" borderId="0" xfId="3" applyNumberFormat="1" applyFont="1"/>
    <xf numFmtId="165" fontId="5" fillId="0" borderId="4" xfId="4" applyFont="1" applyFill="1" applyBorder="1" applyAlignment="1">
      <alignment vertical="center" wrapText="1"/>
    </xf>
    <xf numFmtId="0" fontId="6" fillId="0" borderId="4" xfId="0" applyFont="1" applyBorder="1" applyAlignment="1">
      <alignment horizontal="left" vertical="center"/>
    </xf>
    <xf numFmtId="0" fontId="5" fillId="0" borderId="4" xfId="0" applyFont="1" applyBorder="1" applyAlignment="1">
      <alignment horizontal="center" wrapText="1"/>
    </xf>
    <xf numFmtId="9" fontId="5" fillId="0" borderId="0" xfId="3" applyFont="1" applyBorder="1"/>
    <xf numFmtId="0" fontId="3" fillId="0" borderId="0" xfId="0" applyFont="1" applyAlignment="1">
      <alignment horizontal="center"/>
    </xf>
    <xf numFmtId="0" fontId="5" fillId="0" borderId="0" xfId="0" applyFont="1" applyAlignment="1">
      <alignment vertical="top"/>
    </xf>
    <xf numFmtId="0" fontId="5" fillId="0" borderId="4" xfId="0" applyFont="1" applyBorder="1"/>
    <xf numFmtId="164" fontId="5" fillId="0" borderId="0" xfId="0" applyNumberFormat="1" applyFont="1"/>
    <xf numFmtId="0" fontId="6" fillId="0" borderId="4" xfId="0" applyFont="1" applyBorder="1" applyAlignment="1">
      <alignment horizontal="right" vertical="center" wrapText="1"/>
    </xf>
    <xf numFmtId="165" fontId="5" fillId="0" borderId="4" xfId="4" applyFont="1" applyFill="1" applyBorder="1"/>
    <xf numFmtId="0" fontId="5" fillId="9" borderId="4" xfId="0" applyFont="1" applyFill="1" applyBorder="1"/>
    <xf numFmtId="14" fontId="5" fillId="0" borderId="0" xfId="0" quotePrefix="1" applyNumberFormat="1" applyFont="1" applyAlignment="1">
      <alignment vertical="center" wrapText="1"/>
    </xf>
    <xf numFmtId="44" fontId="3" fillId="0" borderId="4" xfId="0" applyNumberFormat="1" applyFont="1" applyBorder="1"/>
    <xf numFmtId="165" fontId="5" fillId="0" borderId="0" xfId="0" applyNumberFormat="1" applyFont="1"/>
    <xf numFmtId="0" fontId="5" fillId="0" borderId="4" xfId="0" applyFont="1" applyBorder="1" applyAlignment="1">
      <alignment horizontal="right"/>
    </xf>
    <xf numFmtId="0" fontId="5" fillId="0" borderId="5" xfId="0" applyFont="1" applyBorder="1" applyAlignment="1">
      <alignment horizontal="right"/>
    </xf>
    <xf numFmtId="44" fontId="3" fillId="2" borderId="5" xfId="0" applyNumberFormat="1" applyFont="1" applyFill="1" applyBorder="1"/>
    <xf numFmtId="44" fontId="3" fillId="10" borderId="4" xfId="0" applyNumberFormat="1" applyFont="1" applyFill="1" applyBorder="1"/>
    <xf numFmtId="165" fontId="5" fillId="11" borderId="4" xfId="4" applyFont="1" applyFill="1" applyBorder="1" applyAlignment="1">
      <alignment vertical="center" wrapText="1"/>
    </xf>
    <xf numFmtId="165" fontId="5" fillId="12" borderId="4" xfId="4" applyFont="1" applyFill="1" applyBorder="1" applyAlignment="1">
      <alignment vertical="center" wrapText="1"/>
    </xf>
    <xf numFmtId="44" fontId="5" fillId="0" borderId="0" xfId="0" applyNumberFormat="1" applyFont="1"/>
    <xf numFmtId="43" fontId="5" fillId="13" borderId="4" xfId="0" applyNumberFormat="1" applyFont="1" applyFill="1" applyBorder="1"/>
    <xf numFmtId="165" fontId="5" fillId="2" borderId="4" xfId="4" applyFont="1" applyFill="1" applyBorder="1" applyAlignment="1">
      <alignment vertical="center" wrapText="1"/>
    </xf>
    <xf numFmtId="165" fontId="5" fillId="10" borderId="4" xfId="4" applyFont="1" applyFill="1" applyBorder="1" applyAlignment="1">
      <alignment vertical="center" wrapText="1"/>
    </xf>
    <xf numFmtId="0" fontId="12" fillId="14" borderId="4" xfId="0" applyFont="1" applyFill="1" applyBorder="1"/>
    <xf numFmtId="44" fontId="12" fillId="14" borderId="4" xfId="2" applyFont="1" applyFill="1" applyBorder="1"/>
    <xf numFmtId="0" fontId="0" fillId="15" borderId="4" xfId="0" applyFill="1" applyBorder="1"/>
    <xf numFmtId="44" fontId="0" fillId="15" borderId="4" xfId="2" applyFont="1" applyFill="1" applyBorder="1"/>
    <xf numFmtId="0" fontId="0" fillId="16" borderId="4" xfId="0" applyFill="1" applyBorder="1"/>
    <xf numFmtId="44" fontId="0" fillId="16" borderId="4" xfId="2" applyFont="1" applyFill="1" applyBorder="1"/>
    <xf numFmtId="0" fontId="0" fillId="17" borderId="4" xfId="0" applyFill="1" applyBorder="1"/>
    <xf numFmtId="44" fontId="0" fillId="17" borderId="4" xfId="2" applyFont="1" applyFill="1" applyBorder="1"/>
    <xf numFmtId="0" fontId="0" fillId="18" borderId="4" xfId="0" applyFill="1" applyBorder="1"/>
    <xf numFmtId="44" fontId="0" fillId="18" borderId="4" xfId="2" applyFont="1" applyFill="1" applyBorder="1"/>
    <xf numFmtId="43" fontId="5" fillId="0" borderId="0" xfId="0" applyNumberFormat="1" applyFont="1"/>
    <xf numFmtId="0" fontId="5" fillId="19" borderId="4" xfId="0" applyFont="1" applyFill="1" applyBorder="1"/>
    <xf numFmtId="164" fontId="5" fillId="20" borderId="4" xfId="0" applyNumberFormat="1" applyFont="1" applyFill="1" applyBorder="1"/>
    <xf numFmtId="0" fontId="0" fillId="0" borderId="4" xfId="0" applyBorder="1"/>
    <xf numFmtId="44" fontId="0" fillId="0" borderId="4" xfId="2" applyFont="1" applyBorder="1"/>
    <xf numFmtId="0" fontId="13" fillId="21" borderId="4" xfId="0" applyFont="1" applyFill="1" applyBorder="1" applyAlignment="1">
      <alignment horizontal="centerContinuous" vertical="center"/>
    </xf>
    <xf numFmtId="0" fontId="13" fillId="21" borderId="4" xfId="0" applyFont="1" applyFill="1" applyBorder="1" applyAlignment="1">
      <alignment horizontal="center" vertical="center" shrinkToFit="1"/>
    </xf>
    <xf numFmtId="0" fontId="14" fillId="0" borderId="4" xfId="0" applyFont="1" applyBorder="1" applyAlignment="1">
      <alignment horizontal="centerContinuous" vertical="center"/>
    </xf>
    <xf numFmtId="0" fontId="5" fillId="0" borderId="4" xfId="0" applyFont="1" applyBorder="1" applyAlignment="1">
      <alignment shrinkToFit="1"/>
    </xf>
    <xf numFmtId="43" fontId="5" fillId="0" borderId="4" xfId="1" applyFont="1" applyFill="1" applyBorder="1" applyAlignment="1">
      <alignment shrinkToFit="1"/>
    </xf>
    <xf numFmtId="43" fontId="5" fillId="0" borderId="4" xfId="1" applyFont="1" applyFill="1" applyBorder="1"/>
    <xf numFmtId="0" fontId="12" fillId="0" borderId="4" xfId="0" applyFont="1" applyBorder="1"/>
    <xf numFmtId="44" fontId="12" fillId="0" borderId="4" xfId="2" applyFont="1" applyBorder="1"/>
    <xf numFmtId="165" fontId="5" fillId="0" borderId="4" xfId="0" applyNumberFormat="1" applyFont="1" applyBorder="1"/>
    <xf numFmtId="43" fontId="5" fillId="0" borderId="0" xfId="1" applyFont="1" applyFill="1"/>
    <xf numFmtId="0" fontId="12" fillId="15" borderId="4" xfId="0" applyFont="1" applyFill="1" applyBorder="1"/>
    <xf numFmtId="44" fontId="12" fillId="15" borderId="4" xfId="2" applyFont="1" applyFill="1" applyBorder="1"/>
    <xf numFmtId="44" fontId="15" fillId="0" borderId="4" xfId="2" applyFont="1" applyBorder="1"/>
    <xf numFmtId="0" fontId="2" fillId="14" borderId="4" xfId="0" applyFont="1" applyFill="1" applyBorder="1"/>
    <xf numFmtId="44" fontId="2" fillId="14" borderId="4" xfId="0" applyNumberFormat="1" applyFont="1" applyFill="1" applyBorder="1"/>
    <xf numFmtId="170" fontId="5" fillId="0" borderId="4" xfId="0" applyNumberFormat="1" applyFont="1" applyBorder="1" applyAlignment="1">
      <alignment shrinkToFit="1"/>
    </xf>
    <xf numFmtId="170" fontId="5" fillId="20" borderId="4" xfId="0" applyNumberFormat="1" applyFont="1" applyFill="1" applyBorder="1" applyAlignment="1">
      <alignment shrinkToFit="1"/>
    </xf>
    <xf numFmtId="170" fontId="5" fillId="10" borderId="4" xfId="0" applyNumberFormat="1" applyFont="1" applyFill="1" applyBorder="1" applyAlignment="1">
      <alignment shrinkToFit="1"/>
    </xf>
    <xf numFmtId="44" fontId="12" fillId="14" borderId="4" xfId="0" applyNumberFormat="1" applyFont="1" applyFill="1" applyBorder="1"/>
    <xf numFmtId="44" fontId="5" fillId="0" borderId="0" xfId="2" applyFont="1" applyFill="1" applyBorder="1"/>
    <xf numFmtId="0" fontId="16" fillId="0" borderId="0" xfId="0" applyFont="1"/>
    <xf numFmtId="43" fontId="5" fillId="0" borderId="4" xfId="7" applyFont="1" applyFill="1" applyBorder="1" applyAlignment="1">
      <alignment shrinkToFit="1"/>
    </xf>
    <xf numFmtId="43" fontId="5" fillId="0" borderId="4" xfId="7" applyFont="1" applyFill="1" applyBorder="1"/>
    <xf numFmtId="44" fontId="3" fillId="0" borderId="0" xfId="0" applyNumberFormat="1" applyFont="1" applyAlignment="1">
      <alignment horizontal="center"/>
    </xf>
    <xf numFmtId="43" fontId="5" fillId="13" borderId="4" xfId="1" applyFont="1" applyFill="1" applyBorder="1" applyAlignment="1">
      <alignment shrinkToFit="1"/>
    </xf>
    <xf numFmtId="9" fontId="5" fillId="0" borderId="0" xfId="3" applyFont="1" applyFill="1" applyBorder="1"/>
    <xf numFmtId="171" fontId="5" fillId="0" borderId="0" xfId="0" applyNumberFormat="1" applyFont="1"/>
    <xf numFmtId="15" fontId="5" fillId="0" borderId="0" xfId="0" applyNumberFormat="1" applyFont="1"/>
    <xf numFmtId="44" fontId="0" fillId="0" borderId="0" xfId="2" applyFont="1"/>
    <xf numFmtId="43" fontId="5" fillId="0" borderId="0" xfId="1" applyFont="1" applyFill="1" applyBorder="1"/>
    <xf numFmtId="44" fontId="0" fillId="0" borderId="0" xfId="0" applyNumberFormat="1"/>
    <xf numFmtId="168" fontId="5" fillId="0" borderId="0" xfId="0" applyNumberFormat="1" applyFont="1"/>
    <xf numFmtId="10" fontId="5" fillId="0" borderId="0" xfId="3" applyNumberFormat="1" applyFont="1" applyAlignment="1">
      <alignment vertical="center" wrapText="1"/>
    </xf>
    <xf numFmtId="9" fontId="5" fillId="0" borderId="0" xfId="0" applyNumberFormat="1" applyFont="1"/>
    <xf numFmtId="0" fontId="5" fillId="0" borderId="0" xfId="4" applyNumberFormat="1" applyFont="1" applyAlignment="1">
      <alignment vertical="center" wrapText="1"/>
    </xf>
    <xf numFmtId="9" fontId="5" fillId="0" borderId="0" xfId="3" applyFont="1" applyAlignment="1">
      <alignment vertical="center" wrapText="1"/>
    </xf>
    <xf numFmtId="44" fontId="5" fillId="0" borderId="7" xfId="2" applyFont="1" applyBorder="1"/>
    <xf numFmtId="0" fontId="5" fillId="0" borderId="3" xfId="0" applyFont="1" applyBorder="1"/>
    <xf numFmtId="10" fontId="5" fillId="0" borderId="8" xfId="3" applyNumberFormat="1" applyFont="1" applyBorder="1"/>
    <xf numFmtId="44" fontId="5" fillId="0" borderId="9" xfId="2" applyFont="1" applyBorder="1"/>
    <xf numFmtId="0" fontId="5" fillId="0" borderId="1" xfId="0" applyFont="1" applyBorder="1"/>
    <xf numFmtId="10" fontId="5" fillId="0" borderId="10" xfId="3" applyNumberFormat="1" applyFont="1" applyBorder="1"/>
    <xf numFmtId="10" fontId="5" fillId="0" borderId="0" xfId="0" applyNumberFormat="1" applyFont="1"/>
    <xf numFmtId="0" fontId="5" fillId="0" borderId="11" xfId="0" applyFont="1" applyBorder="1"/>
    <xf numFmtId="165" fontId="5" fillId="0" borderId="11" xfId="4" applyFont="1" applyFill="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Border="1" applyAlignment="1">
      <alignment vertical="center" wrapText="1"/>
    </xf>
    <xf numFmtId="0" fontId="3" fillId="3" borderId="4" xfId="0" applyFont="1" applyFill="1" applyBorder="1" applyAlignment="1">
      <alignment vertical="center" wrapText="1"/>
    </xf>
    <xf numFmtId="0" fontId="3" fillId="2" borderId="4" xfId="0" applyFont="1" applyFill="1" applyBorder="1" applyAlignment="1">
      <alignment vertical="center" wrapText="1"/>
    </xf>
    <xf numFmtId="0" fontId="3" fillId="4" borderId="4" xfId="0" applyFont="1" applyFill="1" applyBorder="1" applyAlignment="1">
      <alignment vertical="center" wrapText="1"/>
    </xf>
    <xf numFmtId="0" fontId="3" fillId="5" borderId="4" xfId="0" applyFont="1" applyFill="1" applyBorder="1" applyAlignment="1">
      <alignment vertical="center" wrapText="1"/>
    </xf>
    <xf numFmtId="3" fontId="3" fillId="6" borderId="4" xfId="0" applyNumberFormat="1" applyFont="1" applyFill="1" applyBorder="1"/>
    <xf numFmtId="165" fontId="4" fillId="0" borderId="4" xfId="0" quotePrefix="1" applyNumberFormat="1" applyFont="1" applyBorder="1" applyAlignment="1">
      <alignment vertical="center" wrapText="1"/>
    </xf>
    <xf numFmtId="10" fontId="3" fillId="0" borderId="4" xfId="3" applyNumberFormat="1" applyFont="1" applyBorder="1" applyAlignment="1">
      <alignment vertical="center" wrapText="1"/>
    </xf>
    <xf numFmtId="9" fontId="3" fillId="0" borderId="4" xfId="3" applyFont="1" applyBorder="1" applyAlignment="1">
      <alignment vertical="center" wrapText="1"/>
    </xf>
    <xf numFmtId="165" fontId="3" fillId="0" borderId="4" xfId="0" applyNumberFormat="1" applyFont="1" applyBorder="1" applyAlignment="1">
      <alignment vertical="center" wrapText="1"/>
    </xf>
    <xf numFmtId="0" fontId="5" fillId="0" borderId="4" xfId="0" applyFont="1" applyBorder="1" applyAlignment="1">
      <alignment horizontal="left" vertical="center"/>
    </xf>
    <xf numFmtId="14" fontId="6" fillId="0" borderId="4" xfId="0" applyNumberFormat="1" applyFont="1" applyBorder="1" applyAlignment="1">
      <alignment horizontal="center" vertical="center" wrapText="1"/>
    </xf>
    <xf numFmtId="0" fontId="5" fillId="4" borderId="4" xfId="0" applyFont="1" applyFill="1" applyBorder="1"/>
    <xf numFmtId="14" fontId="5" fillId="0" borderId="4" xfId="0" applyNumberFormat="1" applyFont="1" applyBorder="1"/>
    <xf numFmtId="8" fontId="5" fillId="0" borderId="4" xfId="0" applyNumberFormat="1" applyFont="1" applyBorder="1" applyAlignment="1">
      <alignment vertical="center"/>
    </xf>
    <xf numFmtId="8" fontId="5" fillId="0" borderId="4" xfId="0" applyNumberFormat="1" applyFont="1" applyBorder="1" applyAlignment="1">
      <alignment horizontal="right" vertical="center"/>
    </xf>
    <xf numFmtId="16" fontId="5" fillId="0" borderId="4" xfId="0" applyNumberFormat="1" applyFont="1" applyBorder="1" applyAlignment="1">
      <alignment vertical="center"/>
    </xf>
    <xf numFmtId="165" fontId="5" fillId="0" borderId="4" xfId="0" quotePrefix="1" applyNumberFormat="1" applyFont="1" applyBorder="1" applyAlignment="1">
      <alignment vertical="center" wrapText="1"/>
    </xf>
    <xf numFmtId="0" fontId="5" fillId="0" borderId="4" xfId="0" applyFont="1" applyBorder="1" applyAlignment="1">
      <alignment horizontal="right" vertical="top"/>
    </xf>
    <xf numFmtId="16" fontId="5" fillId="0" borderId="4" xfId="0" applyNumberFormat="1" applyFont="1" applyBorder="1" applyAlignment="1">
      <alignment vertical="center" wrapText="1"/>
    </xf>
    <xf numFmtId="3" fontId="5" fillId="0" borderId="4" xfId="0" applyNumberFormat="1" applyFont="1" applyBorder="1"/>
    <xf numFmtId="0" fontId="5" fillId="0" borderId="4" xfId="0" applyFont="1" applyBorder="1" applyAlignment="1">
      <alignment vertical="center"/>
    </xf>
    <xf numFmtId="9" fontId="5" fillId="0" borderId="4" xfId="3" applyFont="1" applyBorder="1"/>
    <xf numFmtId="165" fontId="5" fillId="0" borderId="4" xfId="0" applyNumberFormat="1" applyFont="1" applyBorder="1" applyAlignment="1">
      <alignment vertical="center" wrapText="1"/>
    </xf>
    <xf numFmtId="165" fontId="5" fillId="0" borderId="4" xfId="0" quotePrefix="1" applyNumberFormat="1" applyFont="1" applyBorder="1" applyAlignment="1">
      <alignment vertical="center"/>
    </xf>
    <xf numFmtId="16" fontId="5" fillId="0" borderId="4" xfId="0" applyNumberFormat="1" applyFont="1" applyBorder="1"/>
    <xf numFmtId="0" fontId="5" fillId="0" borderId="4" xfId="0" applyFont="1" applyBorder="1" applyAlignment="1">
      <alignment vertical="center" wrapText="1"/>
    </xf>
    <xf numFmtId="16" fontId="5" fillId="7" borderId="4" xfId="0" applyNumberFormat="1" applyFont="1" applyFill="1" applyBorder="1"/>
    <xf numFmtId="16" fontId="5" fillId="0" borderId="4" xfId="0" applyNumberFormat="1" applyFont="1" applyBorder="1" applyAlignment="1">
      <alignment horizontal="right" vertical="center"/>
    </xf>
    <xf numFmtId="44" fontId="5" fillId="0" borderId="4" xfId="2" quotePrefix="1" applyFont="1" applyBorder="1" applyAlignment="1">
      <alignment vertical="center" wrapText="1"/>
    </xf>
    <xf numFmtId="0" fontId="5" fillId="8" borderId="4" xfId="0" applyFont="1" applyFill="1" applyBorder="1" applyAlignment="1">
      <alignment vertical="center" wrapText="1"/>
    </xf>
    <xf numFmtId="165" fontId="5" fillId="0" borderId="4" xfId="0" quotePrefix="1" applyNumberFormat="1" applyFont="1" applyBorder="1" applyAlignment="1">
      <alignment horizontal="right" vertical="center" wrapText="1"/>
    </xf>
    <xf numFmtId="0" fontId="6" fillId="0" borderId="4" xfId="0" applyFont="1" applyBorder="1"/>
    <xf numFmtId="44" fontId="5" fillId="0" borderId="4" xfId="2" applyFont="1" applyBorder="1"/>
    <xf numFmtId="0" fontId="5" fillId="4" borderId="4" xfId="0" applyFont="1" applyFill="1" applyBorder="1" applyAlignment="1">
      <alignment vertical="center" wrapText="1"/>
    </xf>
    <xf numFmtId="10" fontId="5" fillId="0" borderId="4" xfId="3" applyNumberFormat="1" applyFont="1" applyBorder="1"/>
    <xf numFmtId="166" fontId="5" fillId="0" borderId="4" xfId="0" quotePrefix="1" applyNumberFormat="1" applyFont="1" applyBorder="1" applyAlignment="1">
      <alignment vertical="center" wrapText="1"/>
    </xf>
    <xf numFmtId="166" fontId="5" fillId="0" borderId="4" xfId="4" applyNumberFormat="1" applyFont="1" applyFill="1" applyBorder="1" applyAlignment="1">
      <alignment vertical="center" wrapText="1"/>
    </xf>
    <xf numFmtId="16" fontId="5" fillId="2" borderId="4" xfId="0" applyNumberFormat="1" applyFont="1" applyFill="1" applyBorder="1"/>
    <xf numFmtId="14" fontId="5" fillId="2" borderId="4" xfId="0" applyNumberFormat="1" applyFont="1" applyFill="1" applyBorder="1"/>
    <xf numFmtId="0" fontId="5" fillId="2" borderId="4" xfId="0" applyFont="1" applyFill="1" applyBorder="1"/>
    <xf numFmtId="9" fontId="5" fillId="0" borderId="4" xfId="3" applyFont="1" applyFill="1" applyBorder="1"/>
    <xf numFmtId="167" fontId="5" fillId="0" borderId="4" xfId="3" applyNumberFormat="1" applyFont="1" applyBorder="1"/>
    <xf numFmtId="168" fontId="5" fillId="0" borderId="4" xfId="3" applyNumberFormat="1" applyFont="1" applyBorder="1"/>
    <xf numFmtId="165" fontId="5" fillId="0" borderId="4" xfId="4" applyFont="1" applyBorder="1" applyAlignment="1">
      <alignment vertical="center" wrapText="1"/>
    </xf>
    <xf numFmtId="166" fontId="5" fillId="0" borderId="4" xfId="0" applyNumberFormat="1" applyFont="1" applyBorder="1" applyAlignment="1">
      <alignment vertical="center" wrapText="1"/>
    </xf>
    <xf numFmtId="0" fontId="3" fillId="0" borderId="4" xfId="0" applyFont="1" applyBorder="1" applyAlignment="1">
      <alignment vertical="center"/>
    </xf>
    <xf numFmtId="44" fontId="5" fillId="0" borderId="4" xfId="2" applyFont="1" applyBorder="1" applyAlignment="1">
      <alignment vertical="center" wrapText="1"/>
    </xf>
    <xf numFmtId="165" fontId="5" fillId="0" borderId="4" xfId="4" applyFont="1" applyFill="1" applyBorder="1" applyAlignment="1">
      <alignment vertical="center"/>
    </xf>
    <xf numFmtId="8" fontId="5" fillId="0" borderId="4" xfId="0" quotePrefix="1" applyNumberFormat="1" applyFont="1" applyBorder="1" applyAlignment="1">
      <alignment vertical="center"/>
    </xf>
    <xf numFmtId="0" fontId="9" fillId="0" borderId="4" xfId="5" applyFont="1" applyBorder="1"/>
    <xf numFmtId="165" fontId="5" fillId="0" borderId="4" xfId="4" applyFont="1" applyBorder="1" applyAlignment="1">
      <alignment vertical="center"/>
    </xf>
    <xf numFmtId="0" fontId="5" fillId="0" borderId="4" xfId="0" applyFont="1" applyBorder="1" applyAlignment="1">
      <alignment horizontal="center" vertical="center" wrapText="1"/>
    </xf>
    <xf numFmtId="44" fontId="5" fillId="0" borderId="4" xfId="2" applyFont="1" applyFill="1" applyBorder="1" applyAlignment="1">
      <alignment vertical="center" wrapText="1"/>
    </xf>
    <xf numFmtId="8" fontId="5" fillId="0" borderId="4" xfId="0" quotePrefix="1" applyNumberFormat="1" applyFont="1" applyBorder="1" applyAlignment="1">
      <alignment horizontal="center" vertical="center"/>
    </xf>
    <xf numFmtId="49" fontId="5" fillId="4" borderId="4" xfId="0" applyNumberFormat="1" applyFont="1" applyFill="1" applyBorder="1" applyAlignment="1">
      <alignment horizontal="center" vertical="center" wrapText="1"/>
    </xf>
    <xf numFmtId="49" fontId="5" fillId="4" borderId="4" xfId="0" applyNumberFormat="1" applyFont="1" applyFill="1" applyBorder="1" applyAlignment="1">
      <alignment horizontal="right" vertical="center" wrapText="1"/>
    </xf>
    <xf numFmtId="0" fontId="5" fillId="0" borderId="4" xfId="0" applyFont="1" applyBorder="1" applyAlignment="1">
      <alignment wrapText="1"/>
    </xf>
    <xf numFmtId="8" fontId="5" fillId="2" borderId="4" xfId="0" applyNumberFormat="1" applyFont="1" applyFill="1" applyBorder="1" applyAlignment="1">
      <alignment vertical="center"/>
    </xf>
    <xf numFmtId="49" fontId="5" fillId="0" borderId="4" xfId="0" applyNumberFormat="1" applyFont="1" applyBorder="1" applyAlignment="1">
      <alignment horizontal="right" vertical="center" wrapText="1"/>
    </xf>
    <xf numFmtId="0" fontId="10" fillId="0" borderId="4" xfId="0" applyFont="1" applyBorder="1"/>
    <xf numFmtId="165" fontId="5" fillId="9" borderId="4" xfId="0" quotePrefix="1" applyNumberFormat="1" applyFont="1" applyFill="1" applyBorder="1" applyAlignment="1">
      <alignment vertical="center" wrapText="1"/>
    </xf>
    <xf numFmtId="49" fontId="5" fillId="0" borderId="4" xfId="0" applyNumberFormat="1" applyFont="1" applyBorder="1" applyAlignment="1">
      <alignment horizontal="center" vertical="center"/>
    </xf>
    <xf numFmtId="49" fontId="5" fillId="0" borderId="4" xfId="0" applyNumberFormat="1" applyFont="1" applyBorder="1" applyAlignment="1">
      <alignment horizontal="center" vertical="center" wrapText="1"/>
    </xf>
    <xf numFmtId="49" fontId="5" fillId="0" borderId="4" xfId="0" quotePrefix="1" applyNumberFormat="1" applyFont="1" applyBorder="1" applyAlignment="1">
      <alignment horizontal="right" vertical="center" wrapText="1"/>
    </xf>
    <xf numFmtId="169" fontId="11" fillId="0" borderId="4" xfId="6" applyNumberFormat="1" applyFont="1" applyFill="1" applyBorder="1" applyAlignment="1"/>
    <xf numFmtId="0" fontId="3" fillId="0" borderId="4" xfId="0" applyFont="1" applyBorder="1" applyAlignment="1">
      <alignment horizontal="right" vertical="center"/>
    </xf>
    <xf numFmtId="165" fontId="3" fillId="0" borderId="4" xfId="4" applyFont="1" applyFill="1" applyBorder="1"/>
    <xf numFmtId="0" fontId="3" fillId="0" borderId="4" xfId="0" applyFont="1" applyBorder="1" applyAlignment="1">
      <alignment horizontal="center"/>
    </xf>
    <xf numFmtId="0" fontId="5" fillId="0" borderId="4" xfId="0" applyFont="1" applyBorder="1" applyAlignment="1">
      <alignment vertical="top"/>
    </xf>
    <xf numFmtId="0" fontId="5" fillId="0" borderId="6" xfId="0" applyFont="1" applyBorder="1" applyAlignment="1">
      <alignment horizontal="center" wrapText="1"/>
    </xf>
    <xf numFmtId="0" fontId="5" fillId="0" borderId="2" xfId="0" applyFont="1" applyBorder="1" applyAlignment="1">
      <alignment horizontal="center" wrapText="1"/>
    </xf>
    <xf numFmtId="0" fontId="19" fillId="0" borderId="4" xfId="0" applyFont="1" applyBorder="1" applyAlignment="1">
      <alignment horizontal="center" vertical="center"/>
    </xf>
  </cellXfs>
  <cellStyles count="8">
    <cellStyle name="Hipervínculo" xfId="5" builtinId="8"/>
    <cellStyle name="Millares" xfId="1" builtinId="3"/>
    <cellStyle name="Millares 10" xfId="7" xr:uid="{F5577E46-57A3-4E78-A458-37C47E48E25E}"/>
    <cellStyle name="Moneda" xfId="2" builtinId="4"/>
    <cellStyle name="Moneda 10" xfId="6" xr:uid="{1E7776FE-EBF4-423C-9DFB-E397CF1CBF23}"/>
    <cellStyle name="Moneda 2" xfId="4" xr:uid="{16B2FD84-E482-4523-A114-F8B8AB1121F3}"/>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60</xdr:col>
      <xdr:colOff>627530</xdr:colOff>
      <xdr:row>0</xdr:row>
      <xdr:rowOff>0</xdr:rowOff>
    </xdr:from>
    <xdr:to>
      <xdr:col>61</xdr:col>
      <xdr:colOff>1591235</xdr:colOff>
      <xdr:row>0</xdr:row>
      <xdr:rowOff>885265</xdr:rowOff>
    </xdr:to>
    <xdr:pic>
      <xdr:nvPicPr>
        <xdr:cNvPr id="3" name="Imagen 2">
          <a:extLst>
            <a:ext uri="{FF2B5EF4-FFF2-40B4-BE49-F238E27FC236}">
              <a16:creationId xmlns:a16="http://schemas.microsoft.com/office/drawing/2014/main" id="{CCE9DCD0-774C-0543-0442-3E129E6CAE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76715471" y="0"/>
          <a:ext cx="1725705" cy="88526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337C-A6D0-4275-9046-013A224747C0}">
  <dimension ref="A1:BJ423"/>
  <sheetViews>
    <sheetView showGridLines="0" tabSelected="1" topLeftCell="J1" zoomScale="85" zoomScaleNormal="85" workbookViewId="0">
      <pane ySplit="4" topLeftCell="A5" activePane="bottomLeft" state="frozen"/>
      <selection activeCell="F1" sqref="F1"/>
      <selection pane="bottomLeft" activeCell="B17" sqref="B17"/>
    </sheetView>
  </sheetViews>
  <sheetFormatPr baseColWidth="10" defaultColWidth="11.5" defaultRowHeight="13" x14ac:dyDescent="0.15"/>
  <cols>
    <col min="1" max="1" width="11.5" style="1" customWidth="1"/>
    <col min="2" max="2" width="48.5" style="1" customWidth="1"/>
    <col min="3" max="3" width="40.5" style="1" customWidth="1"/>
    <col min="4" max="4" width="32.33203125" style="1" customWidth="1"/>
    <col min="5" max="5" width="22.6640625" style="1" customWidth="1"/>
    <col min="6" max="6" width="28.1640625" style="1" customWidth="1"/>
    <col min="7" max="7" width="58" style="1" customWidth="1"/>
    <col min="8" max="8" width="25.5" style="1" customWidth="1"/>
    <col min="9" max="9" width="32.5" style="1" customWidth="1"/>
    <col min="10" max="10" width="30.1640625" style="1" customWidth="1"/>
    <col min="11" max="11" width="28.1640625" style="1" customWidth="1"/>
    <col min="12" max="12" width="15.6640625" style="1" customWidth="1"/>
    <col min="13" max="13" width="12" style="1" customWidth="1"/>
    <col min="14" max="14" width="12.1640625" style="1" customWidth="1"/>
    <col min="15" max="15" width="24.1640625" style="1" customWidth="1"/>
    <col min="16" max="16" width="24.5" style="1" customWidth="1"/>
    <col min="17" max="17" width="16.83203125" style="1" customWidth="1"/>
    <col min="18" max="18" width="30.1640625" style="1" customWidth="1"/>
    <col min="19" max="19" width="9" style="1" customWidth="1"/>
    <col min="20" max="20" width="9.1640625" style="1" customWidth="1"/>
    <col min="21" max="21" width="7" style="1" customWidth="1"/>
    <col min="22" max="22" width="20.33203125" style="1" customWidth="1"/>
    <col min="23" max="23" width="19.83203125" style="1" customWidth="1"/>
    <col min="24" max="24" width="16.6640625" style="1" customWidth="1"/>
    <col min="25" max="25" width="17.1640625" style="1" customWidth="1"/>
    <col min="26" max="26" width="53.5" style="1" customWidth="1"/>
    <col min="27" max="27" width="19.1640625" style="1" customWidth="1"/>
    <col min="28" max="28" width="21" style="1" customWidth="1"/>
    <col min="29" max="29" width="11.5" style="1" customWidth="1"/>
    <col min="30" max="30" width="14" style="1" customWidth="1"/>
    <col min="31" max="31" width="31.6640625" style="1" customWidth="1"/>
    <col min="32" max="32" width="7.83203125" style="1" customWidth="1"/>
    <col min="33" max="33" width="10.5" style="1" customWidth="1"/>
    <col min="34" max="34" width="8.83203125" style="1" customWidth="1"/>
    <col min="35" max="35" width="10.5" style="1" customWidth="1"/>
    <col min="36" max="36" width="7.83203125" style="1" customWidth="1"/>
    <col min="37" max="37" width="19.33203125" style="1" bestFit="1" customWidth="1"/>
    <col min="38" max="38" width="22.5" style="1" bestFit="1" customWidth="1"/>
    <col min="39" max="39" width="11.5" style="12" customWidth="1"/>
    <col min="40" max="40" width="5.5" style="8" customWidth="1"/>
    <col min="41" max="42" width="5.6640625" style="8" customWidth="1"/>
    <col min="43" max="43" width="19.33203125" style="8" customWidth="1"/>
    <col min="44" max="44" width="16.6640625" style="1" bestFit="1" customWidth="1"/>
    <col min="45" max="45" width="19.5" style="1" customWidth="1"/>
    <col min="46" max="46" width="16.5" style="1" customWidth="1"/>
    <col min="47" max="47" width="15.5" style="1" bestFit="1" customWidth="1"/>
    <col min="48" max="48" width="5.6640625" style="1" customWidth="1"/>
    <col min="49" max="49" width="18.33203125" style="1" bestFit="1" customWidth="1"/>
    <col min="50" max="50" width="19.33203125" style="1" bestFit="1" customWidth="1"/>
    <col min="51" max="51" width="18.33203125" style="1" bestFit="1" customWidth="1"/>
    <col min="52" max="52" width="16.83203125" style="1" customWidth="1"/>
    <col min="53" max="53" width="8.5" style="1" customWidth="1"/>
    <col min="54" max="54" width="15.33203125" style="1" customWidth="1"/>
    <col min="55" max="55" width="17.5" style="1" customWidth="1"/>
    <col min="56" max="56" width="16.5" style="1" customWidth="1"/>
    <col min="57" max="57" width="14.33203125" style="1" customWidth="1"/>
    <col min="58" max="58" width="16.5" style="1" customWidth="1"/>
    <col min="59" max="59" width="15.5" style="1" customWidth="1"/>
    <col min="60" max="61" width="11.5" style="1"/>
    <col min="62" max="62" width="27.33203125" style="1" customWidth="1"/>
    <col min="63" max="16384" width="11.5" style="1"/>
  </cols>
  <sheetData>
    <row r="1" spans="1:62" ht="78" customHeight="1" x14ac:dyDescent="0.15">
      <c r="A1" s="21"/>
      <c r="B1" s="173" t="s">
        <v>1259</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21"/>
    </row>
    <row r="4" spans="1:62" ht="36" customHeight="1" x14ac:dyDescent="0.15">
      <c r="A4" s="99" t="s">
        <v>0</v>
      </c>
      <c r="B4" s="99" t="s">
        <v>1</v>
      </c>
      <c r="C4" s="99" t="s">
        <v>2</v>
      </c>
      <c r="D4" s="99" t="s">
        <v>3</v>
      </c>
      <c r="E4" s="99" t="s">
        <v>4</v>
      </c>
      <c r="F4" s="100" t="s">
        <v>5</v>
      </c>
      <c r="G4" s="99" t="s">
        <v>6</v>
      </c>
      <c r="H4" s="99" t="s">
        <v>7</v>
      </c>
      <c r="I4" s="99" t="s">
        <v>8</v>
      </c>
      <c r="J4" s="99" t="s">
        <v>9</v>
      </c>
      <c r="K4" s="99" t="s">
        <v>10</v>
      </c>
      <c r="L4" s="99" t="s">
        <v>11</v>
      </c>
      <c r="M4" s="101" t="s">
        <v>12</v>
      </c>
      <c r="N4" s="101" t="s">
        <v>13</v>
      </c>
      <c r="O4" s="102" t="s">
        <v>14</v>
      </c>
      <c r="P4" s="101" t="s">
        <v>15</v>
      </c>
      <c r="Q4" s="101" t="s">
        <v>16</v>
      </c>
      <c r="R4" s="103" t="s">
        <v>17</v>
      </c>
      <c r="S4" s="101" t="s">
        <v>18</v>
      </c>
      <c r="T4" s="101" t="s">
        <v>19</v>
      </c>
      <c r="U4" s="101" t="s">
        <v>20</v>
      </c>
      <c r="V4" s="104" t="s">
        <v>21</v>
      </c>
      <c r="W4" s="101" t="s">
        <v>22</v>
      </c>
      <c r="X4" s="101" t="s">
        <v>23</v>
      </c>
      <c r="Y4" s="101" t="s">
        <v>24</v>
      </c>
      <c r="Z4" s="105" t="s">
        <v>25</v>
      </c>
      <c r="AA4" s="101" t="s">
        <v>26</v>
      </c>
      <c r="AB4" s="101" t="s">
        <v>27</v>
      </c>
      <c r="AC4" s="101" t="s">
        <v>28</v>
      </c>
      <c r="AD4" s="106" t="s">
        <v>29</v>
      </c>
      <c r="AE4" s="101" t="s">
        <v>30</v>
      </c>
      <c r="AF4" s="101" t="s">
        <v>31</v>
      </c>
      <c r="AG4" s="101" t="s">
        <v>32</v>
      </c>
      <c r="AH4" s="101" t="s">
        <v>33</v>
      </c>
      <c r="AI4" s="101" t="s">
        <v>34</v>
      </c>
      <c r="AJ4" s="101" t="s">
        <v>35</v>
      </c>
      <c r="AK4" s="107" t="s">
        <v>36</v>
      </c>
      <c r="AL4" s="107" t="s">
        <v>37</v>
      </c>
      <c r="AM4" s="108" t="s">
        <v>38</v>
      </c>
      <c r="AN4" s="109" t="s">
        <v>39</v>
      </c>
      <c r="AO4" s="109" t="s">
        <v>40</v>
      </c>
      <c r="AP4" s="109" t="s">
        <v>41</v>
      </c>
      <c r="AQ4" s="109" t="s">
        <v>42</v>
      </c>
      <c r="AR4" s="109" t="s">
        <v>43</v>
      </c>
      <c r="AS4" s="109" t="s">
        <v>44</v>
      </c>
      <c r="AT4" s="109" t="s">
        <v>45</v>
      </c>
      <c r="AU4" s="109" t="s">
        <v>41</v>
      </c>
      <c r="AV4" s="109" t="s">
        <v>46</v>
      </c>
      <c r="AW4" s="110" t="s">
        <v>47</v>
      </c>
      <c r="AX4" s="110" t="s">
        <v>48</v>
      </c>
      <c r="AY4" s="110" t="s">
        <v>49</v>
      </c>
      <c r="AZ4" s="110" t="s">
        <v>50</v>
      </c>
      <c r="BA4" s="110" t="s">
        <v>51</v>
      </c>
      <c r="BB4" s="110" t="s">
        <v>52</v>
      </c>
      <c r="BC4" s="110" t="s">
        <v>53</v>
      </c>
      <c r="BD4" s="110" t="s">
        <v>54</v>
      </c>
      <c r="BE4" s="110" t="s">
        <v>55</v>
      </c>
      <c r="BF4" s="110" t="s">
        <v>56</v>
      </c>
      <c r="BG4" s="110" t="s">
        <v>57</v>
      </c>
      <c r="BH4" s="110" t="s">
        <v>58</v>
      </c>
      <c r="BI4" s="110" t="s">
        <v>59</v>
      </c>
      <c r="BJ4" s="110" t="s">
        <v>16</v>
      </c>
    </row>
    <row r="5" spans="1:62" ht="14" x14ac:dyDescent="0.15">
      <c r="A5" s="17">
        <v>1</v>
      </c>
      <c r="B5" s="111" t="s">
        <v>60</v>
      </c>
      <c r="C5" s="15">
        <v>905122450</v>
      </c>
      <c r="D5" s="112">
        <v>44606</v>
      </c>
      <c r="E5" s="21" t="s">
        <v>61</v>
      </c>
      <c r="F5" s="15">
        <f t="shared" ref="F5:F68" si="0">C5</f>
        <v>905122450</v>
      </c>
      <c r="G5" s="21" t="s">
        <v>62</v>
      </c>
      <c r="H5" s="15">
        <f t="shared" ref="H5:H68" si="1">C5-F5</f>
        <v>0</v>
      </c>
      <c r="I5" s="21" t="s">
        <v>63</v>
      </c>
      <c r="J5" s="21" t="s">
        <v>64</v>
      </c>
      <c r="K5" s="21" t="s">
        <v>65</v>
      </c>
      <c r="L5" s="112">
        <v>44601</v>
      </c>
      <c r="M5" s="113">
        <v>188421</v>
      </c>
      <c r="N5" s="114">
        <v>44550</v>
      </c>
      <c r="O5" s="115" t="s">
        <v>66</v>
      </c>
      <c r="P5" s="115" t="s">
        <v>767</v>
      </c>
      <c r="Q5" s="115" t="s">
        <v>67</v>
      </c>
      <c r="R5" s="116" t="s">
        <v>68</v>
      </c>
      <c r="S5" s="115" t="s">
        <v>69</v>
      </c>
      <c r="T5" s="117">
        <v>44623</v>
      </c>
      <c r="U5" s="117"/>
      <c r="V5" s="118">
        <v>843845660</v>
      </c>
      <c r="W5" s="118">
        <f>+V5</f>
        <v>843845660</v>
      </c>
      <c r="X5" s="118" t="s">
        <v>1352</v>
      </c>
      <c r="Y5" s="118"/>
      <c r="Z5" s="118" t="s">
        <v>70</v>
      </c>
      <c r="AA5" s="118"/>
      <c r="AB5" s="119" t="s">
        <v>71</v>
      </c>
      <c r="AC5" s="120">
        <v>44637</v>
      </c>
      <c r="AD5" s="121">
        <v>901573241</v>
      </c>
      <c r="AE5" s="122" t="s">
        <v>1260</v>
      </c>
      <c r="AF5" s="120">
        <v>44656</v>
      </c>
      <c r="AG5" s="114">
        <v>45584</v>
      </c>
      <c r="AH5" s="21" t="s">
        <v>72</v>
      </c>
      <c r="AI5" s="21" t="s">
        <v>73</v>
      </c>
      <c r="AJ5" s="21"/>
      <c r="AK5" s="118">
        <v>63212056</v>
      </c>
      <c r="AL5" s="118">
        <f t="shared" ref="AL5:AL68" si="2">IF(AK5="","",V5-AK5)</f>
        <v>780633604</v>
      </c>
      <c r="AM5" s="123"/>
      <c r="AN5" s="123"/>
      <c r="AO5" s="123"/>
      <c r="AP5" s="123"/>
      <c r="AQ5" s="123"/>
      <c r="AR5" s="123"/>
      <c r="AS5" s="123"/>
      <c r="AT5" s="123"/>
      <c r="AU5" s="123"/>
      <c r="AV5" s="123">
        <v>0.1</v>
      </c>
      <c r="AW5" s="124">
        <f t="shared" ref="AW5:AW68" si="3">IF(AK5="","",AK5)</f>
        <v>63212056</v>
      </c>
      <c r="AX5" s="124">
        <f>IF(AK5="","",ROUND(AL5/INT(LEFT(AH5,FIND("m",AH5)-1))*50%,0))</f>
        <v>43368534</v>
      </c>
      <c r="AY5" s="124">
        <f>IF(AK5="","",ROUND(AL5*40%,2))</f>
        <v>312253441.60000002</v>
      </c>
      <c r="AZ5" s="124">
        <f>IF(AK5="","",ROUND(AL5*10%,2))</f>
        <v>78063360.400000006</v>
      </c>
      <c r="BA5" s="21" t="s">
        <v>74</v>
      </c>
      <c r="BB5" s="21"/>
      <c r="BC5" s="21"/>
      <c r="BD5" s="21"/>
      <c r="BE5" s="21"/>
      <c r="BF5" s="21"/>
      <c r="BG5" s="21"/>
      <c r="BH5" s="21"/>
      <c r="BI5" s="21"/>
      <c r="BJ5" s="21"/>
    </row>
    <row r="6" spans="1:62" ht="14" x14ac:dyDescent="0.15">
      <c r="A6" s="17">
        <v>2</v>
      </c>
      <c r="B6" s="16" t="s">
        <v>75</v>
      </c>
      <c r="C6" s="15">
        <v>184937650</v>
      </c>
      <c r="D6" s="112">
        <v>44606</v>
      </c>
      <c r="E6" s="21" t="s">
        <v>61</v>
      </c>
      <c r="F6" s="15">
        <f t="shared" si="0"/>
        <v>184937650</v>
      </c>
      <c r="G6" s="21" t="s">
        <v>62</v>
      </c>
      <c r="H6" s="15">
        <f t="shared" si="1"/>
        <v>0</v>
      </c>
      <c r="I6" s="21" t="s">
        <v>76</v>
      </c>
      <c r="J6" s="21" t="s">
        <v>64</v>
      </c>
      <c r="K6" s="21" t="s">
        <v>77</v>
      </c>
      <c r="L6" s="112">
        <v>44603</v>
      </c>
      <c r="M6" s="21">
        <v>176921</v>
      </c>
      <c r="N6" s="114">
        <v>44477</v>
      </c>
      <c r="O6" s="115" t="s">
        <v>66</v>
      </c>
      <c r="P6" s="115" t="s">
        <v>767</v>
      </c>
      <c r="Q6" s="115" t="s">
        <v>67</v>
      </c>
      <c r="R6" s="116" t="s">
        <v>78</v>
      </c>
      <c r="S6" s="115" t="s">
        <v>69</v>
      </c>
      <c r="T6" s="117">
        <v>44629</v>
      </c>
      <c r="U6" s="117"/>
      <c r="V6" s="118">
        <v>173112513</v>
      </c>
      <c r="W6" s="118">
        <f t="shared" ref="W6:W69" si="4">+V6</f>
        <v>173112513</v>
      </c>
      <c r="X6" s="118" t="s">
        <v>1154</v>
      </c>
      <c r="Y6" s="118"/>
      <c r="Z6" s="125" t="s">
        <v>79</v>
      </c>
      <c r="AA6" s="118">
        <v>0</v>
      </c>
      <c r="AB6" s="119" t="s">
        <v>80</v>
      </c>
      <c r="AC6" s="120">
        <v>44642</v>
      </c>
      <c r="AD6" s="121">
        <v>901576032</v>
      </c>
      <c r="AE6" s="122" t="s">
        <v>1261</v>
      </c>
      <c r="AF6" s="120">
        <v>44656</v>
      </c>
      <c r="AG6" s="114">
        <v>45050</v>
      </c>
      <c r="AH6" s="21" t="s">
        <v>81</v>
      </c>
      <c r="AI6" s="21" t="s">
        <v>82</v>
      </c>
      <c r="AJ6" s="21"/>
      <c r="AK6" s="118">
        <v>11453181</v>
      </c>
      <c r="AL6" s="118">
        <f t="shared" si="2"/>
        <v>161659332</v>
      </c>
      <c r="AM6" s="123"/>
      <c r="AN6" s="123"/>
      <c r="AO6" s="123"/>
      <c r="AP6" s="123"/>
      <c r="AQ6" s="123"/>
      <c r="AR6" s="123"/>
      <c r="AS6" s="123"/>
      <c r="AT6" s="123"/>
      <c r="AU6" s="123"/>
      <c r="AV6" s="123">
        <v>0.1</v>
      </c>
      <c r="AW6" s="124">
        <f t="shared" si="3"/>
        <v>11453181</v>
      </c>
      <c r="AX6" s="124">
        <f>IF(AK6="","",ROUND(AL6/INT(LEFT(AH6,FIND("m",AH6)-1))*50%,0))</f>
        <v>10103708</v>
      </c>
      <c r="AY6" s="124">
        <f>IF(AK6="","",ROUND(AL6*40%,0))</f>
        <v>64663733</v>
      </c>
      <c r="AZ6" s="124">
        <f>IF(AK6="","",ROUND(AL6*10%,0))</f>
        <v>16165933</v>
      </c>
      <c r="BA6" s="21" t="s">
        <v>83</v>
      </c>
      <c r="BB6" s="21"/>
      <c r="BC6" s="21"/>
      <c r="BD6" s="21"/>
      <c r="BE6" s="21"/>
      <c r="BF6" s="21"/>
      <c r="BG6" s="21"/>
      <c r="BH6" s="21"/>
      <c r="BI6" s="21"/>
      <c r="BJ6" s="21"/>
    </row>
    <row r="7" spans="1:62" ht="14" x14ac:dyDescent="0.15">
      <c r="A7" s="17">
        <v>3</v>
      </c>
      <c r="B7" s="21" t="s">
        <v>84</v>
      </c>
      <c r="C7" s="15">
        <v>1625008000</v>
      </c>
      <c r="D7" s="112">
        <v>44606</v>
      </c>
      <c r="E7" s="21" t="s">
        <v>85</v>
      </c>
      <c r="F7" s="15">
        <f t="shared" si="0"/>
        <v>1625008000</v>
      </c>
      <c r="G7" s="21" t="s">
        <v>62</v>
      </c>
      <c r="H7" s="15">
        <f t="shared" si="1"/>
        <v>0</v>
      </c>
      <c r="I7" s="21" t="s">
        <v>86</v>
      </c>
      <c r="J7" s="21" t="s">
        <v>87</v>
      </c>
      <c r="K7" s="21" t="s">
        <v>88</v>
      </c>
      <c r="L7" s="112">
        <v>44603</v>
      </c>
      <c r="M7" s="113">
        <v>188421</v>
      </c>
      <c r="N7" s="114">
        <v>44550</v>
      </c>
      <c r="O7" s="115" t="s">
        <v>66</v>
      </c>
      <c r="P7" s="115" t="s">
        <v>767</v>
      </c>
      <c r="Q7" s="115" t="s">
        <v>67</v>
      </c>
      <c r="R7" s="116" t="s">
        <v>89</v>
      </c>
      <c r="S7" s="115" t="s">
        <v>69</v>
      </c>
      <c r="T7" s="117">
        <v>44629</v>
      </c>
      <c r="U7" s="117"/>
      <c r="V7" s="118">
        <v>1516294906</v>
      </c>
      <c r="W7" s="118">
        <f t="shared" si="4"/>
        <v>1516294906</v>
      </c>
      <c r="X7" s="125" t="s">
        <v>1352</v>
      </c>
      <c r="Y7" s="118"/>
      <c r="Z7" s="118" t="s">
        <v>70</v>
      </c>
      <c r="AA7" s="124"/>
      <c r="AB7" s="119" t="s">
        <v>90</v>
      </c>
      <c r="AC7" s="120">
        <v>44644</v>
      </c>
      <c r="AD7" s="121">
        <v>901574691</v>
      </c>
      <c r="AE7" s="122" t="s">
        <v>1262</v>
      </c>
      <c r="AF7" s="126">
        <v>44662</v>
      </c>
      <c r="AG7" s="114">
        <v>45350</v>
      </c>
      <c r="AH7" s="21" t="s">
        <v>91</v>
      </c>
      <c r="AI7" s="21" t="s">
        <v>92</v>
      </c>
      <c r="AJ7" s="21"/>
      <c r="AK7" s="118">
        <v>89324018</v>
      </c>
      <c r="AL7" s="118">
        <f t="shared" si="2"/>
        <v>1426970888</v>
      </c>
      <c r="AM7" s="123"/>
      <c r="AN7" s="123"/>
      <c r="AO7" s="123"/>
      <c r="AP7" s="123"/>
      <c r="AQ7" s="123"/>
      <c r="AR7" s="123"/>
      <c r="AS7" s="123"/>
      <c r="AT7" s="123"/>
      <c r="AU7" s="123"/>
      <c r="AV7" s="123">
        <v>0.1</v>
      </c>
      <c r="AW7" s="124">
        <f t="shared" si="3"/>
        <v>89324018</v>
      </c>
      <c r="AX7" s="124">
        <f>IF(AK7="","",ROUND(AL7/INT(LEFT(AH7,FIND("m",AH7)-1))*50%,0))</f>
        <v>41969732</v>
      </c>
      <c r="AY7" s="124">
        <f t="shared" ref="AY7:AY70" si="5">IF(AK7="","",ROUND(AL7*40%,2))</f>
        <v>570788355.20000005</v>
      </c>
      <c r="AZ7" s="124">
        <f t="shared" ref="AZ7:AZ70" si="6">IF(AK7="","",ROUND(AL7*10%,2))</f>
        <v>142697088.80000001</v>
      </c>
      <c r="BA7" s="21" t="s">
        <v>83</v>
      </c>
      <c r="BB7" s="21"/>
      <c r="BC7" s="21"/>
      <c r="BD7" s="21"/>
      <c r="BE7" s="21"/>
      <c r="BF7" s="21"/>
      <c r="BG7" s="21"/>
      <c r="BH7" s="21"/>
      <c r="BI7" s="21"/>
      <c r="BJ7" s="21"/>
    </row>
    <row r="8" spans="1:62" ht="14" x14ac:dyDescent="0.15">
      <c r="A8" s="17">
        <v>4</v>
      </c>
      <c r="B8" s="111" t="s">
        <v>93</v>
      </c>
      <c r="C8" s="15">
        <v>493184040</v>
      </c>
      <c r="D8" s="112">
        <v>44606</v>
      </c>
      <c r="E8" s="21" t="s">
        <v>61</v>
      </c>
      <c r="F8" s="15">
        <f t="shared" si="0"/>
        <v>493184040</v>
      </c>
      <c r="G8" s="21" t="s">
        <v>62</v>
      </c>
      <c r="H8" s="15">
        <f t="shared" si="1"/>
        <v>0</v>
      </c>
      <c r="I8" s="21" t="s">
        <v>94</v>
      </c>
      <c r="J8" s="21" t="s">
        <v>64</v>
      </c>
      <c r="K8" s="21" t="s">
        <v>77</v>
      </c>
      <c r="L8" s="112">
        <v>44603</v>
      </c>
      <c r="M8" s="113">
        <v>188421</v>
      </c>
      <c r="N8" s="114">
        <v>44550</v>
      </c>
      <c r="O8" s="115" t="s">
        <v>66</v>
      </c>
      <c r="P8" s="115" t="s">
        <v>767</v>
      </c>
      <c r="Q8" s="115" t="s">
        <v>67</v>
      </c>
      <c r="R8" s="116" t="s">
        <v>95</v>
      </c>
      <c r="S8" s="115" t="s">
        <v>69</v>
      </c>
      <c r="T8" s="117">
        <v>44629</v>
      </c>
      <c r="U8" s="117"/>
      <c r="V8" s="118">
        <v>474570653</v>
      </c>
      <c r="W8" s="118">
        <f t="shared" si="4"/>
        <v>474570653</v>
      </c>
      <c r="X8" s="125" t="s">
        <v>1352</v>
      </c>
      <c r="Y8" s="118"/>
      <c r="Z8" s="118" t="s">
        <v>70</v>
      </c>
      <c r="AA8" s="118"/>
      <c r="AB8" s="119" t="s">
        <v>96</v>
      </c>
      <c r="AC8" s="120">
        <v>44642</v>
      </c>
      <c r="AD8" s="121">
        <v>901575163</v>
      </c>
      <c r="AE8" s="122" t="s">
        <v>1263</v>
      </c>
      <c r="AF8" s="126">
        <v>44673</v>
      </c>
      <c r="AG8" s="114">
        <v>45444</v>
      </c>
      <c r="AH8" s="21" t="s">
        <v>97</v>
      </c>
      <c r="AI8" s="21" t="s">
        <v>98</v>
      </c>
      <c r="AJ8" s="21"/>
      <c r="AK8" s="118">
        <v>35388218</v>
      </c>
      <c r="AL8" s="118">
        <f t="shared" si="2"/>
        <v>439182435</v>
      </c>
      <c r="AM8" s="123"/>
      <c r="AN8" s="123"/>
      <c r="AO8" s="123"/>
      <c r="AP8" s="123"/>
      <c r="AQ8" s="123"/>
      <c r="AR8" s="123"/>
      <c r="AS8" s="123"/>
      <c r="AT8" s="123"/>
      <c r="AU8" s="123"/>
      <c r="AV8" s="123">
        <v>0.1</v>
      </c>
      <c r="AW8" s="124">
        <f t="shared" si="3"/>
        <v>35388218</v>
      </c>
      <c r="AX8" s="124">
        <f>IF(AK8="","",ROUND(AL8/INT(LEFT(AH8,FIND("m",AH8)-1))*50%,2))</f>
        <v>21959121.75</v>
      </c>
      <c r="AY8" s="124">
        <f t="shared" si="5"/>
        <v>175672974</v>
      </c>
      <c r="AZ8" s="124">
        <f t="shared" si="6"/>
        <v>43918243.5</v>
      </c>
      <c r="BA8" s="21" t="s">
        <v>99</v>
      </c>
      <c r="BB8" s="21"/>
      <c r="BC8" s="21"/>
      <c r="BD8" s="21"/>
      <c r="BE8" s="21"/>
      <c r="BF8" s="21"/>
      <c r="BG8" s="21"/>
      <c r="BH8" s="21"/>
      <c r="BI8" s="21"/>
      <c r="BJ8" s="21"/>
    </row>
    <row r="9" spans="1:62" ht="14" x14ac:dyDescent="0.15">
      <c r="A9" s="17">
        <v>5</v>
      </c>
      <c r="B9" s="21" t="s">
        <v>100</v>
      </c>
      <c r="C9" s="15">
        <v>1509442090</v>
      </c>
      <c r="D9" s="112">
        <v>44606</v>
      </c>
      <c r="E9" s="21" t="s">
        <v>61</v>
      </c>
      <c r="F9" s="15">
        <f t="shared" si="0"/>
        <v>1509442090</v>
      </c>
      <c r="G9" s="21" t="s">
        <v>62</v>
      </c>
      <c r="H9" s="15">
        <f t="shared" si="1"/>
        <v>0</v>
      </c>
      <c r="I9" s="21" t="s">
        <v>101</v>
      </c>
      <c r="J9" s="21" t="s">
        <v>102</v>
      </c>
      <c r="K9" s="21" t="s">
        <v>77</v>
      </c>
      <c r="L9" s="112">
        <v>44603</v>
      </c>
      <c r="M9" s="21">
        <v>176921</v>
      </c>
      <c r="N9" s="114">
        <v>44477</v>
      </c>
      <c r="O9" s="115" t="s">
        <v>66</v>
      </c>
      <c r="P9" s="115" t="s">
        <v>767</v>
      </c>
      <c r="Q9" s="115" t="s">
        <v>67</v>
      </c>
      <c r="R9" s="116" t="s">
        <v>103</v>
      </c>
      <c r="S9" s="115" t="s">
        <v>69</v>
      </c>
      <c r="T9" s="117">
        <v>44629</v>
      </c>
      <c r="U9" s="117"/>
      <c r="V9" s="118">
        <v>1422302280</v>
      </c>
      <c r="W9" s="118">
        <f t="shared" si="4"/>
        <v>1422302280</v>
      </c>
      <c r="X9" s="118" t="s">
        <v>1154</v>
      </c>
      <c r="Y9" s="118"/>
      <c r="Z9" s="125" t="s">
        <v>104</v>
      </c>
      <c r="AA9" s="118"/>
      <c r="AB9" s="119" t="s">
        <v>105</v>
      </c>
      <c r="AC9" s="120">
        <v>44648</v>
      </c>
      <c r="AD9" s="121">
        <v>901575078</v>
      </c>
      <c r="AE9" s="122" t="s">
        <v>1264</v>
      </c>
      <c r="AF9" s="126">
        <v>44659</v>
      </c>
      <c r="AG9" s="114">
        <v>45290</v>
      </c>
      <c r="AH9" s="21" t="s">
        <v>106</v>
      </c>
      <c r="AI9" s="21" t="s">
        <v>107</v>
      </c>
      <c r="AJ9" s="21"/>
      <c r="AK9" s="118">
        <v>88150440</v>
      </c>
      <c r="AL9" s="118">
        <f t="shared" si="2"/>
        <v>1334151840</v>
      </c>
      <c r="AM9" s="123"/>
      <c r="AN9" s="123"/>
      <c r="AO9" s="123"/>
      <c r="AP9" s="123"/>
      <c r="AQ9" s="123"/>
      <c r="AR9" s="123"/>
      <c r="AS9" s="123"/>
      <c r="AT9" s="123"/>
      <c r="AU9" s="123"/>
      <c r="AV9" s="123">
        <v>0.1</v>
      </c>
      <c r="AW9" s="124">
        <f t="shared" si="3"/>
        <v>88150440</v>
      </c>
      <c r="AX9" s="124">
        <f>IF(AK9="","",ROUND(AL9/INT(LEFT(AH9,FIND("m",AH9)-1))*50%,0))</f>
        <v>47648280</v>
      </c>
      <c r="AY9" s="124">
        <f t="shared" si="5"/>
        <v>533660736</v>
      </c>
      <c r="AZ9" s="124">
        <f t="shared" si="6"/>
        <v>133415184</v>
      </c>
      <c r="BA9" s="21" t="s">
        <v>108</v>
      </c>
      <c r="BB9" s="21"/>
      <c r="BC9" s="21"/>
      <c r="BD9" s="21"/>
      <c r="BE9" s="21"/>
      <c r="BF9" s="21"/>
      <c r="BG9" s="21"/>
      <c r="BH9" s="21"/>
      <c r="BI9" s="21"/>
      <c r="BJ9" s="21"/>
    </row>
    <row r="10" spans="1:62" ht="14" x14ac:dyDescent="0.15">
      <c r="A10" s="17">
        <v>6</v>
      </c>
      <c r="B10" s="21" t="s">
        <v>109</v>
      </c>
      <c r="C10" s="15">
        <v>278669740</v>
      </c>
      <c r="D10" s="112">
        <v>44613</v>
      </c>
      <c r="E10" s="21" t="s">
        <v>61</v>
      </c>
      <c r="F10" s="15">
        <f t="shared" si="0"/>
        <v>278669740</v>
      </c>
      <c r="G10" s="21" t="s">
        <v>62</v>
      </c>
      <c r="H10" s="15">
        <f t="shared" si="1"/>
        <v>0</v>
      </c>
      <c r="I10" s="21" t="s">
        <v>110</v>
      </c>
      <c r="J10" s="21" t="s">
        <v>102</v>
      </c>
      <c r="K10" s="21" t="s">
        <v>111</v>
      </c>
      <c r="L10" s="112">
        <v>44610</v>
      </c>
      <c r="M10" s="127">
        <v>176921</v>
      </c>
      <c r="N10" s="114">
        <v>44477</v>
      </c>
      <c r="O10" s="115" t="s">
        <v>66</v>
      </c>
      <c r="P10" s="115" t="s">
        <v>767</v>
      </c>
      <c r="Q10" s="115" t="s">
        <v>112</v>
      </c>
      <c r="R10" s="116" t="s">
        <v>113</v>
      </c>
      <c r="S10" s="115" t="s">
        <v>69</v>
      </c>
      <c r="T10" s="117">
        <v>44643</v>
      </c>
      <c r="U10" s="117"/>
      <c r="V10" s="118">
        <v>263729114</v>
      </c>
      <c r="W10" s="118">
        <f t="shared" si="4"/>
        <v>263729114</v>
      </c>
      <c r="X10" s="118" t="s">
        <v>1154</v>
      </c>
      <c r="Y10" s="118"/>
      <c r="Z10" s="125" t="s">
        <v>79</v>
      </c>
      <c r="AA10" s="118">
        <v>0</v>
      </c>
      <c r="AB10" s="119" t="s">
        <v>114</v>
      </c>
      <c r="AC10" s="120">
        <v>44650</v>
      </c>
      <c r="AD10" s="121">
        <v>901578965</v>
      </c>
      <c r="AE10" s="122" t="s">
        <v>1265</v>
      </c>
      <c r="AF10" s="126">
        <v>44676</v>
      </c>
      <c r="AG10" s="114">
        <v>45127</v>
      </c>
      <c r="AH10" s="21" t="s">
        <v>115</v>
      </c>
      <c r="AI10" s="21" t="s">
        <v>116</v>
      </c>
      <c r="AJ10" s="21"/>
      <c r="AK10" s="118">
        <v>19875550</v>
      </c>
      <c r="AL10" s="118">
        <f t="shared" si="2"/>
        <v>243853564</v>
      </c>
      <c r="AM10" s="123"/>
      <c r="AN10" s="123"/>
      <c r="AO10" s="123"/>
      <c r="AP10" s="123"/>
      <c r="AQ10" s="123"/>
      <c r="AR10" s="123"/>
      <c r="AS10" s="123"/>
      <c r="AT10" s="123"/>
      <c r="AU10" s="123"/>
      <c r="AV10" s="123">
        <v>0.1</v>
      </c>
      <c r="AW10" s="124">
        <f t="shared" si="3"/>
        <v>19875550</v>
      </c>
      <c r="AX10" s="124">
        <f>IF(AK10="","",ROUND(AL10/INT(LEFT(AH10,FIND("m",AH10)-1))*50%,0))</f>
        <v>13547420</v>
      </c>
      <c r="AY10" s="124">
        <f t="shared" si="5"/>
        <v>97541425.599999994</v>
      </c>
      <c r="AZ10" s="124">
        <f t="shared" si="6"/>
        <v>24385356.399999999</v>
      </c>
      <c r="BA10" s="21" t="s">
        <v>117</v>
      </c>
      <c r="BB10" s="21"/>
      <c r="BC10" s="21"/>
      <c r="BD10" s="21"/>
      <c r="BE10" s="21"/>
      <c r="BF10" s="21"/>
      <c r="BG10" s="21"/>
      <c r="BH10" s="21"/>
      <c r="BI10" s="21"/>
      <c r="BJ10" s="21"/>
    </row>
    <row r="11" spans="1:62" ht="14" x14ac:dyDescent="0.15">
      <c r="A11" s="17">
        <v>7</v>
      </c>
      <c r="B11" s="21" t="s">
        <v>118</v>
      </c>
      <c r="C11" s="15">
        <v>171928620</v>
      </c>
      <c r="D11" s="112">
        <v>44613</v>
      </c>
      <c r="E11" s="21" t="s">
        <v>61</v>
      </c>
      <c r="F11" s="15">
        <f t="shared" si="0"/>
        <v>171928620</v>
      </c>
      <c r="G11" s="21" t="s">
        <v>62</v>
      </c>
      <c r="H11" s="15">
        <f t="shared" si="1"/>
        <v>0</v>
      </c>
      <c r="I11" s="21" t="s">
        <v>119</v>
      </c>
      <c r="J11" s="21" t="s">
        <v>120</v>
      </c>
      <c r="K11" s="21" t="s">
        <v>121</v>
      </c>
      <c r="L11" s="112">
        <v>44609</v>
      </c>
      <c r="M11" s="127">
        <v>176921</v>
      </c>
      <c r="N11" s="114">
        <v>44477</v>
      </c>
      <c r="O11" s="115" t="s">
        <v>66</v>
      </c>
      <c r="P11" s="115" t="s">
        <v>767</v>
      </c>
      <c r="Q11" s="115" t="s">
        <v>112</v>
      </c>
      <c r="R11" s="116" t="s">
        <v>122</v>
      </c>
      <c r="S11" s="115" t="s">
        <v>69</v>
      </c>
      <c r="T11" s="117" t="s">
        <v>123</v>
      </c>
      <c r="U11" s="117" t="s">
        <v>124</v>
      </c>
      <c r="V11" s="118">
        <v>0</v>
      </c>
      <c r="W11" s="118">
        <f t="shared" si="4"/>
        <v>0</v>
      </c>
      <c r="X11" s="118" t="s">
        <v>125</v>
      </c>
      <c r="Y11" s="118"/>
      <c r="Z11" s="125" t="s">
        <v>126</v>
      </c>
      <c r="AA11" s="118"/>
      <c r="AB11" s="119" t="s">
        <v>127</v>
      </c>
      <c r="AC11" s="120"/>
      <c r="AD11" s="121"/>
      <c r="AE11" s="122" t="s">
        <v>1159</v>
      </c>
      <c r="AF11" s="126"/>
      <c r="AG11" s="114"/>
      <c r="AH11" s="21"/>
      <c r="AI11" s="21"/>
      <c r="AJ11" s="21"/>
      <c r="AK11" s="118"/>
      <c r="AL11" s="118" t="str">
        <f t="shared" si="2"/>
        <v/>
      </c>
      <c r="AM11" s="123"/>
      <c r="AN11" s="123"/>
      <c r="AO11" s="123"/>
      <c r="AP11" s="123"/>
      <c r="AQ11" s="123"/>
      <c r="AR11" s="123"/>
      <c r="AS11" s="123"/>
      <c r="AT11" s="123"/>
      <c r="AU11" s="123"/>
      <c r="AV11" s="123"/>
      <c r="AW11" s="124" t="str">
        <f t="shared" si="3"/>
        <v/>
      </c>
      <c r="AX11" s="124" t="str">
        <f>IF(AK11="","",ROUND(AL11/INT(LEFT(AH11,FIND("m",AH11)-1))*50%,0))</f>
        <v/>
      </c>
      <c r="AY11" s="124" t="str">
        <f t="shared" si="5"/>
        <v/>
      </c>
      <c r="AZ11" s="124" t="str">
        <f t="shared" si="6"/>
        <v/>
      </c>
      <c r="BA11" s="21"/>
      <c r="BB11" s="21"/>
      <c r="BC11" s="21"/>
      <c r="BD11" s="21"/>
      <c r="BE11" s="21"/>
      <c r="BF11" s="21"/>
      <c r="BG11" s="21"/>
      <c r="BH11" s="21"/>
      <c r="BI11" s="21"/>
      <c r="BJ11" s="21"/>
    </row>
    <row r="12" spans="1:62" ht="14" x14ac:dyDescent="0.15">
      <c r="A12" s="17">
        <v>8</v>
      </c>
      <c r="B12" s="21" t="s">
        <v>128</v>
      </c>
      <c r="C12" s="15">
        <v>255691760</v>
      </c>
      <c r="D12" s="112">
        <v>44613</v>
      </c>
      <c r="E12" s="21" t="s">
        <v>61</v>
      </c>
      <c r="F12" s="15">
        <f t="shared" si="0"/>
        <v>255691760</v>
      </c>
      <c r="G12" s="21" t="s">
        <v>62</v>
      </c>
      <c r="H12" s="15">
        <f t="shared" si="1"/>
        <v>0</v>
      </c>
      <c r="I12" s="21" t="s">
        <v>129</v>
      </c>
      <c r="J12" s="21" t="s">
        <v>130</v>
      </c>
      <c r="K12" s="21" t="s">
        <v>121</v>
      </c>
      <c r="L12" s="112">
        <v>44609</v>
      </c>
      <c r="M12" s="127">
        <v>176921</v>
      </c>
      <c r="N12" s="114">
        <v>44477</v>
      </c>
      <c r="O12" s="115" t="s">
        <v>66</v>
      </c>
      <c r="P12" s="115" t="s">
        <v>767</v>
      </c>
      <c r="Q12" s="115" t="s">
        <v>112</v>
      </c>
      <c r="R12" s="116" t="s">
        <v>131</v>
      </c>
      <c r="S12" s="115" t="s">
        <v>69</v>
      </c>
      <c r="T12" s="117">
        <v>44642</v>
      </c>
      <c r="U12" s="117"/>
      <c r="V12" s="118">
        <v>240803640</v>
      </c>
      <c r="W12" s="118">
        <f t="shared" si="4"/>
        <v>240803640</v>
      </c>
      <c r="X12" s="118" t="s">
        <v>1154</v>
      </c>
      <c r="Y12" s="118"/>
      <c r="Z12" s="125" t="s">
        <v>79</v>
      </c>
      <c r="AA12" s="118"/>
      <c r="AB12" s="119" t="s">
        <v>132</v>
      </c>
      <c r="AC12" s="120">
        <v>44659</v>
      </c>
      <c r="AD12" s="121">
        <v>901579893</v>
      </c>
      <c r="AE12" s="122" t="s">
        <v>1266</v>
      </c>
      <c r="AF12" s="126">
        <v>44683</v>
      </c>
      <c r="AG12" s="114">
        <v>45048</v>
      </c>
      <c r="AH12" s="21" t="s">
        <v>81</v>
      </c>
      <c r="AI12" s="21" t="s">
        <v>133</v>
      </c>
      <c r="AJ12" s="21"/>
      <c r="AK12" s="118">
        <v>15298640</v>
      </c>
      <c r="AL12" s="118">
        <f t="shared" si="2"/>
        <v>225505000</v>
      </c>
      <c r="AM12" s="123"/>
      <c r="AN12" s="123"/>
      <c r="AO12" s="123"/>
      <c r="AP12" s="123"/>
      <c r="AQ12" s="123"/>
      <c r="AR12" s="123"/>
      <c r="AS12" s="123"/>
      <c r="AT12" s="123"/>
      <c r="AU12" s="123"/>
      <c r="AV12" s="123">
        <v>0.1</v>
      </c>
      <c r="AW12" s="124">
        <f t="shared" si="3"/>
        <v>15298640</v>
      </c>
      <c r="AX12" s="124">
        <f>IF(AK12="","",ROUND(AL12/INT(LEFT(AH12,FIND("m",AH12)-1))*50%,0))</f>
        <v>14094063</v>
      </c>
      <c r="AY12" s="124">
        <f t="shared" si="5"/>
        <v>90202000</v>
      </c>
      <c r="AZ12" s="124">
        <f t="shared" si="6"/>
        <v>22550500</v>
      </c>
      <c r="BA12" s="21" t="s">
        <v>74</v>
      </c>
      <c r="BB12" s="21"/>
      <c r="BC12" s="21"/>
      <c r="BD12" s="21"/>
      <c r="BE12" s="21"/>
      <c r="BF12" s="21"/>
      <c r="BG12" s="21"/>
      <c r="BH12" s="21"/>
      <c r="BI12" s="21"/>
      <c r="BJ12" s="21"/>
    </row>
    <row r="13" spans="1:62" ht="14" x14ac:dyDescent="0.15">
      <c r="A13" s="17">
        <v>9</v>
      </c>
      <c r="B13" s="21" t="s">
        <v>134</v>
      </c>
      <c r="C13" s="15">
        <v>240250870</v>
      </c>
      <c r="D13" s="112">
        <v>44613</v>
      </c>
      <c r="E13" s="21" t="s">
        <v>61</v>
      </c>
      <c r="F13" s="15">
        <f t="shared" si="0"/>
        <v>240250870</v>
      </c>
      <c r="G13" s="21" t="s">
        <v>62</v>
      </c>
      <c r="H13" s="15">
        <f t="shared" si="1"/>
        <v>0</v>
      </c>
      <c r="I13" s="21" t="s">
        <v>135</v>
      </c>
      <c r="J13" s="21" t="s">
        <v>136</v>
      </c>
      <c r="K13" s="21" t="s">
        <v>111</v>
      </c>
      <c r="L13" s="112">
        <v>44610</v>
      </c>
      <c r="M13" s="127">
        <v>176921</v>
      </c>
      <c r="N13" s="114">
        <v>44477</v>
      </c>
      <c r="O13" s="115" t="s">
        <v>66</v>
      </c>
      <c r="P13" s="115" t="s">
        <v>767</v>
      </c>
      <c r="Q13" s="115" t="s">
        <v>112</v>
      </c>
      <c r="R13" s="116" t="s">
        <v>137</v>
      </c>
      <c r="S13" s="115" t="s">
        <v>69</v>
      </c>
      <c r="T13" s="117">
        <v>44643</v>
      </c>
      <c r="U13" s="117"/>
      <c r="V13" s="118">
        <v>225270978</v>
      </c>
      <c r="W13" s="118">
        <f t="shared" si="4"/>
        <v>225270978</v>
      </c>
      <c r="X13" s="118" t="s">
        <v>1154</v>
      </c>
      <c r="Y13" s="118"/>
      <c r="Z13" s="125" t="s">
        <v>79</v>
      </c>
      <c r="AA13" s="118">
        <v>0</v>
      </c>
      <c r="AB13" s="119" t="s">
        <v>138</v>
      </c>
      <c r="AC13" s="120">
        <v>44650</v>
      </c>
      <c r="AD13" s="121">
        <v>901578965</v>
      </c>
      <c r="AE13" s="122" t="s">
        <v>1265</v>
      </c>
      <c r="AF13" s="126">
        <v>44669</v>
      </c>
      <c r="AG13" s="114">
        <v>44959</v>
      </c>
      <c r="AH13" s="21" t="s">
        <v>81</v>
      </c>
      <c r="AI13" s="21" t="s">
        <v>116</v>
      </c>
      <c r="AJ13" s="21"/>
      <c r="AK13" s="118">
        <v>19456872</v>
      </c>
      <c r="AL13" s="118">
        <f t="shared" si="2"/>
        <v>205814106</v>
      </c>
      <c r="AM13" s="123"/>
      <c r="AN13" s="123"/>
      <c r="AO13" s="123"/>
      <c r="AP13" s="123"/>
      <c r="AQ13" s="123"/>
      <c r="AR13" s="123"/>
      <c r="AS13" s="123"/>
      <c r="AT13" s="123"/>
      <c r="AU13" s="123"/>
      <c r="AV13" s="123">
        <v>0.1</v>
      </c>
      <c r="AW13" s="124">
        <f t="shared" si="3"/>
        <v>19456872</v>
      </c>
      <c r="AX13" s="124">
        <f>IF(AK13="","",ROUND(AL13/(INT(LEFT(AH13,FIND("m",AH13)-1))+0.5)*50%,0))</f>
        <v>12106712</v>
      </c>
      <c r="AY13" s="124">
        <f t="shared" si="5"/>
        <v>82325642.400000006</v>
      </c>
      <c r="AZ13" s="124">
        <f t="shared" si="6"/>
        <v>20581410.600000001</v>
      </c>
      <c r="BA13" s="21" t="s">
        <v>83</v>
      </c>
      <c r="BB13" s="21"/>
      <c r="BC13" s="21"/>
      <c r="BD13" s="21"/>
      <c r="BE13" s="21"/>
      <c r="BF13" s="21"/>
      <c r="BG13" s="21"/>
      <c r="BH13" s="21"/>
      <c r="BI13" s="21"/>
      <c r="BJ13" s="21"/>
    </row>
    <row r="14" spans="1:62" ht="14" x14ac:dyDescent="0.15">
      <c r="A14" s="17">
        <v>10</v>
      </c>
      <c r="B14" s="21" t="s">
        <v>139</v>
      </c>
      <c r="C14" s="15">
        <v>291595010</v>
      </c>
      <c r="D14" s="112">
        <v>44613</v>
      </c>
      <c r="E14" s="21" t="s">
        <v>61</v>
      </c>
      <c r="F14" s="15">
        <f t="shared" si="0"/>
        <v>291595010</v>
      </c>
      <c r="G14" s="21" t="s">
        <v>62</v>
      </c>
      <c r="H14" s="15">
        <f t="shared" si="1"/>
        <v>0</v>
      </c>
      <c r="I14" s="21" t="s">
        <v>140</v>
      </c>
      <c r="J14" s="21" t="s">
        <v>141</v>
      </c>
      <c r="K14" s="21" t="s">
        <v>111</v>
      </c>
      <c r="L14" s="112">
        <v>44610</v>
      </c>
      <c r="M14" s="127">
        <v>176921</v>
      </c>
      <c r="N14" s="114">
        <v>44477</v>
      </c>
      <c r="O14" s="115" t="s">
        <v>66</v>
      </c>
      <c r="P14" s="115" t="s">
        <v>767</v>
      </c>
      <c r="Q14" s="115" t="s">
        <v>112</v>
      </c>
      <c r="R14" s="116" t="s">
        <v>142</v>
      </c>
      <c r="S14" s="115" t="s">
        <v>69</v>
      </c>
      <c r="T14" s="117">
        <v>44643</v>
      </c>
      <c r="U14" s="117" t="s">
        <v>124</v>
      </c>
      <c r="V14" s="118">
        <v>0</v>
      </c>
      <c r="W14" s="118">
        <v>276636185</v>
      </c>
      <c r="X14" s="118" t="s">
        <v>125</v>
      </c>
      <c r="Y14" s="118"/>
      <c r="Z14" s="125" t="s">
        <v>143</v>
      </c>
      <c r="AA14" s="118">
        <v>276636185</v>
      </c>
      <c r="AB14" s="119" t="s">
        <v>144</v>
      </c>
      <c r="AC14" s="117" t="s">
        <v>145</v>
      </c>
      <c r="AD14" s="121">
        <v>901587584</v>
      </c>
      <c r="AE14" s="122" t="s">
        <v>1267</v>
      </c>
      <c r="AF14" s="126"/>
      <c r="AG14" s="114"/>
      <c r="AH14" s="21" t="s">
        <v>81</v>
      </c>
      <c r="AI14" s="21"/>
      <c r="AJ14" s="21" t="s">
        <v>146</v>
      </c>
      <c r="AK14" s="118">
        <v>17808095</v>
      </c>
      <c r="AL14" s="118">
        <f t="shared" si="2"/>
        <v>-17808095</v>
      </c>
      <c r="AM14" s="123"/>
      <c r="AN14" s="123"/>
      <c r="AO14" s="123"/>
      <c r="AP14" s="123"/>
      <c r="AQ14" s="123"/>
      <c r="AR14" s="123"/>
      <c r="AS14" s="123"/>
      <c r="AT14" s="123"/>
      <c r="AU14" s="123"/>
      <c r="AV14" s="123">
        <v>0.1</v>
      </c>
      <c r="AW14" s="124">
        <f t="shared" si="3"/>
        <v>17808095</v>
      </c>
      <c r="AX14" s="124">
        <f>IF(AK14="","",ROUND(AL14/INT(LEFT(AH14,FIND("m",AH14)-1))*50%,0))</f>
        <v>-1113006</v>
      </c>
      <c r="AY14" s="124">
        <f t="shared" si="5"/>
        <v>-7123238</v>
      </c>
      <c r="AZ14" s="124">
        <f t="shared" si="6"/>
        <v>-1780809.5</v>
      </c>
      <c r="BA14" s="21"/>
      <c r="BB14" s="21"/>
      <c r="BC14" s="21"/>
      <c r="BD14" s="21"/>
      <c r="BE14" s="21"/>
      <c r="BF14" s="21"/>
      <c r="BG14" s="21"/>
      <c r="BH14" s="21"/>
      <c r="BI14" s="21"/>
      <c r="BJ14" s="21"/>
    </row>
    <row r="15" spans="1:62" ht="14" x14ac:dyDescent="0.15">
      <c r="A15" s="17">
        <v>11</v>
      </c>
      <c r="B15" s="21" t="s">
        <v>147</v>
      </c>
      <c r="C15" s="15">
        <v>416097010</v>
      </c>
      <c r="D15" s="112">
        <v>44613</v>
      </c>
      <c r="E15" s="21" t="s">
        <v>61</v>
      </c>
      <c r="F15" s="15">
        <f t="shared" si="0"/>
        <v>416097010</v>
      </c>
      <c r="G15" s="21" t="s">
        <v>62</v>
      </c>
      <c r="H15" s="15">
        <f t="shared" si="1"/>
        <v>0</v>
      </c>
      <c r="I15" s="21" t="s">
        <v>148</v>
      </c>
      <c r="J15" s="21" t="s">
        <v>141</v>
      </c>
      <c r="K15" s="21" t="s">
        <v>111</v>
      </c>
      <c r="L15" s="112">
        <v>44610</v>
      </c>
      <c r="M15" s="127">
        <v>176921</v>
      </c>
      <c r="N15" s="114">
        <v>44477</v>
      </c>
      <c r="O15" s="115" t="s">
        <v>66</v>
      </c>
      <c r="P15" s="115" t="s">
        <v>767</v>
      </c>
      <c r="Q15" s="115" t="s">
        <v>112</v>
      </c>
      <c r="R15" s="116" t="s">
        <v>149</v>
      </c>
      <c r="S15" s="115" t="s">
        <v>69</v>
      </c>
      <c r="T15" s="117">
        <v>44643</v>
      </c>
      <c r="U15" s="117"/>
      <c r="V15" s="118">
        <v>401533616</v>
      </c>
      <c r="W15" s="118">
        <f t="shared" si="4"/>
        <v>401533616</v>
      </c>
      <c r="X15" s="118" t="s">
        <v>1154</v>
      </c>
      <c r="Y15" s="118"/>
      <c r="Z15" s="125" t="s">
        <v>70</v>
      </c>
      <c r="AA15" s="118"/>
      <c r="AB15" s="119" t="s">
        <v>150</v>
      </c>
      <c r="AC15" s="120">
        <v>44645</v>
      </c>
      <c r="AD15" s="121">
        <v>87069865</v>
      </c>
      <c r="AE15" s="122" t="s">
        <v>1268</v>
      </c>
      <c r="AF15" s="128">
        <v>44659</v>
      </c>
      <c r="AG15" s="114">
        <v>45423</v>
      </c>
      <c r="AH15" s="21" t="s">
        <v>151</v>
      </c>
      <c r="AI15" s="21" t="s">
        <v>152</v>
      </c>
      <c r="AJ15" s="21"/>
      <c r="AK15" s="118">
        <v>22856837</v>
      </c>
      <c r="AL15" s="118">
        <f t="shared" si="2"/>
        <v>378676779</v>
      </c>
      <c r="AM15" s="123"/>
      <c r="AN15" s="123"/>
      <c r="AO15" s="123"/>
      <c r="AP15" s="123"/>
      <c r="AQ15" s="123"/>
      <c r="AR15" s="123"/>
      <c r="AS15" s="123"/>
      <c r="AT15" s="123"/>
      <c r="AU15" s="123"/>
      <c r="AV15" s="123">
        <v>0.1</v>
      </c>
      <c r="AW15" s="124">
        <f t="shared" si="3"/>
        <v>22856837</v>
      </c>
      <c r="AX15" s="124">
        <f>IF(AK15="","",ROUND(AL15/INT(LEFT(AH15,FIND("m",AH15)-1))*50%,2))</f>
        <v>17212580.859999999</v>
      </c>
      <c r="AY15" s="124">
        <f t="shared" si="5"/>
        <v>151470711.59999999</v>
      </c>
      <c r="AZ15" s="124">
        <f t="shared" si="6"/>
        <v>37867677.899999999</v>
      </c>
      <c r="BA15" s="21" t="s">
        <v>74</v>
      </c>
      <c r="BB15" s="21"/>
      <c r="BC15" s="21"/>
      <c r="BD15" s="21"/>
      <c r="BE15" s="21"/>
      <c r="BF15" s="21"/>
      <c r="BG15" s="21"/>
      <c r="BH15" s="21"/>
      <c r="BI15" s="21"/>
      <c r="BJ15" s="21"/>
    </row>
    <row r="16" spans="1:62" ht="14" x14ac:dyDescent="0.15">
      <c r="A16" s="17">
        <v>12</v>
      </c>
      <c r="B16" s="21" t="s">
        <v>153</v>
      </c>
      <c r="C16" s="15">
        <v>235459420</v>
      </c>
      <c r="D16" s="112">
        <v>44613</v>
      </c>
      <c r="E16" s="21" t="s">
        <v>61</v>
      </c>
      <c r="F16" s="15">
        <f t="shared" si="0"/>
        <v>235459420</v>
      </c>
      <c r="G16" s="21" t="s">
        <v>62</v>
      </c>
      <c r="H16" s="15">
        <f t="shared" si="1"/>
        <v>0</v>
      </c>
      <c r="I16" s="21" t="s">
        <v>154</v>
      </c>
      <c r="J16" s="21" t="s">
        <v>141</v>
      </c>
      <c r="K16" s="21" t="s">
        <v>121</v>
      </c>
      <c r="L16" s="112">
        <v>44609</v>
      </c>
      <c r="M16" s="127">
        <v>176921</v>
      </c>
      <c r="N16" s="114">
        <v>44477</v>
      </c>
      <c r="O16" s="115" t="s">
        <v>66</v>
      </c>
      <c r="P16" s="115" t="s">
        <v>767</v>
      </c>
      <c r="Q16" s="115" t="s">
        <v>112</v>
      </c>
      <c r="R16" s="116" t="s">
        <v>155</v>
      </c>
      <c r="S16" s="115" t="s">
        <v>69</v>
      </c>
      <c r="T16" s="117">
        <v>44631</v>
      </c>
      <c r="U16" s="117"/>
      <c r="V16" s="118">
        <v>230090945</v>
      </c>
      <c r="W16" s="118">
        <f t="shared" si="4"/>
        <v>230090945</v>
      </c>
      <c r="X16" s="118" t="s">
        <v>1154</v>
      </c>
      <c r="Y16" s="118"/>
      <c r="Z16" s="125" t="s">
        <v>70</v>
      </c>
      <c r="AA16" s="118"/>
      <c r="AB16" s="119" t="s">
        <v>156</v>
      </c>
      <c r="AC16" s="120">
        <v>44651</v>
      </c>
      <c r="AD16" s="121">
        <v>901579530</v>
      </c>
      <c r="AE16" s="122" t="s">
        <v>1269</v>
      </c>
      <c r="AF16" s="128">
        <v>44673</v>
      </c>
      <c r="AG16" s="114">
        <v>44704</v>
      </c>
      <c r="AH16" s="21" t="s">
        <v>115</v>
      </c>
      <c r="AI16" s="21" t="s">
        <v>157</v>
      </c>
      <c r="AJ16" s="21"/>
      <c r="AK16" s="118">
        <f>10777521-1</f>
        <v>10777520</v>
      </c>
      <c r="AL16" s="118">
        <f t="shared" si="2"/>
        <v>219313425</v>
      </c>
      <c r="AM16" s="123"/>
      <c r="AN16" s="123"/>
      <c r="AO16" s="123"/>
      <c r="AP16" s="123"/>
      <c r="AQ16" s="123"/>
      <c r="AR16" s="123"/>
      <c r="AS16" s="123"/>
      <c r="AT16" s="123"/>
      <c r="AU16" s="123"/>
      <c r="AV16" s="123">
        <v>0.1</v>
      </c>
      <c r="AW16" s="124">
        <f t="shared" si="3"/>
        <v>10777520</v>
      </c>
      <c r="AX16" s="124">
        <f>IF(AK16="","",ROUND(AL16/INT(LEFT(AH16,FIND("m",AH16)-1))*50%,0))</f>
        <v>12184079</v>
      </c>
      <c r="AY16" s="124">
        <f t="shared" si="5"/>
        <v>87725370</v>
      </c>
      <c r="AZ16" s="124">
        <f t="shared" si="6"/>
        <v>21931342.5</v>
      </c>
      <c r="BA16" s="21" t="s">
        <v>83</v>
      </c>
      <c r="BB16" s="21"/>
      <c r="BC16" s="21"/>
      <c r="BD16" s="21"/>
      <c r="BE16" s="21"/>
      <c r="BF16" s="21"/>
      <c r="BG16" s="21"/>
      <c r="BH16" s="21"/>
      <c r="BI16" s="21"/>
      <c r="BJ16" s="21"/>
    </row>
    <row r="17" spans="1:62" ht="14" x14ac:dyDescent="0.15">
      <c r="A17" s="17">
        <v>13</v>
      </c>
      <c r="B17" s="21" t="s">
        <v>158</v>
      </c>
      <c r="C17" s="15">
        <v>111427400</v>
      </c>
      <c r="D17" s="112">
        <v>44613</v>
      </c>
      <c r="E17" s="21" t="s">
        <v>61</v>
      </c>
      <c r="F17" s="15">
        <f t="shared" si="0"/>
        <v>111427400</v>
      </c>
      <c r="G17" s="21" t="s">
        <v>62</v>
      </c>
      <c r="H17" s="15">
        <f t="shared" si="1"/>
        <v>0</v>
      </c>
      <c r="I17" s="21" t="s">
        <v>159</v>
      </c>
      <c r="J17" s="21" t="s">
        <v>160</v>
      </c>
      <c r="K17" s="21" t="s">
        <v>121</v>
      </c>
      <c r="L17" s="112">
        <v>44609</v>
      </c>
      <c r="M17" s="127">
        <v>176921</v>
      </c>
      <c r="N17" s="114">
        <v>44477</v>
      </c>
      <c r="O17" s="115" t="s">
        <v>66</v>
      </c>
      <c r="P17" s="115" t="s">
        <v>767</v>
      </c>
      <c r="Q17" s="115" t="s">
        <v>112</v>
      </c>
      <c r="R17" s="116" t="s">
        <v>161</v>
      </c>
      <c r="S17" s="115" t="s">
        <v>69</v>
      </c>
      <c r="T17" s="117">
        <v>44636</v>
      </c>
      <c r="U17" s="117"/>
      <c r="V17" s="118">
        <v>104242784</v>
      </c>
      <c r="W17" s="118">
        <f t="shared" si="4"/>
        <v>104242784</v>
      </c>
      <c r="X17" s="118" t="s">
        <v>1154</v>
      </c>
      <c r="Y17" s="118"/>
      <c r="Z17" s="125" t="s">
        <v>79</v>
      </c>
      <c r="AA17" s="118">
        <v>95668341</v>
      </c>
      <c r="AB17" s="119" t="s">
        <v>162</v>
      </c>
      <c r="AC17" s="120">
        <v>44650</v>
      </c>
      <c r="AD17" s="121">
        <v>901578800</v>
      </c>
      <c r="AE17" s="122" t="s">
        <v>1270</v>
      </c>
      <c r="AF17" s="128">
        <v>44657</v>
      </c>
      <c r="AG17" s="114"/>
      <c r="AH17" s="21" t="s">
        <v>163</v>
      </c>
      <c r="AI17" s="21" t="s">
        <v>164</v>
      </c>
      <c r="AJ17" s="21"/>
      <c r="AK17" s="118">
        <v>8574443</v>
      </c>
      <c r="AL17" s="118">
        <f t="shared" si="2"/>
        <v>95668341</v>
      </c>
      <c r="AM17" s="123"/>
      <c r="AN17" s="123"/>
      <c r="AO17" s="123"/>
      <c r="AP17" s="123"/>
      <c r="AQ17" s="123"/>
      <c r="AR17" s="123"/>
      <c r="AS17" s="123"/>
      <c r="AT17" s="123"/>
      <c r="AU17" s="123"/>
      <c r="AV17" s="123">
        <v>0.1</v>
      </c>
      <c r="AW17" s="124">
        <f t="shared" si="3"/>
        <v>8574443</v>
      </c>
      <c r="AX17" s="124">
        <f>IF(AK17="","",ROUND(AL17/INT(LEFT(AH17,FIND("m",AH17)-1))*50%,0))</f>
        <v>7972362</v>
      </c>
      <c r="AY17" s="124">
        <f t="shared" si="5"/>
        <v>38267336.399999999</v>
      </c>
      <c r="AZ17" s="124">
        <f t="shared" si="6"/>
        <v>9566834.0999999996</v>
      </c>
      <c r="BA17" s="21" t="s">
        <v>165</v>
      </c>
      <c r="BB17" s="21"/>
      <c r="BC17" s="21"/>
      <c r="BD17" s="21"/>
      <c r="BE17" s="21"/>
      <c r="BF17" s="21"/>
      <c r="BG17" s="21"/>
      <c r="BH17" s="21"/>
      <c r="BI17" s="21"/>
      <c r="BJ17" s="21"/>
    </row>
    <row r="18" spans="1:62" ht="14" x14ac:dyDescent="0.15">
      <c r="A18" s="17">
        <v>14</v>
      </c>
      <c r="B18" s="21" t="s">
        <v>166</v>
      </c>
      <c r="C18" s="15">
        <v>287312400</v>
      </c>
      <c r="D18" s="112">
        <v>44613</v>
      </c>
      <c r="E18" s="21" t="s">
        <v>61</v>
      </c>
      <c r="F18" s="15">
        <f t="shared" si="0"/>
        <v>287312400</v>
      </c>
      <c r="G18" s="21" t="s">
        <v>62</v>
      </c>
      <c r="H18" s="15">
        <f t="shared" si="1"/>
        <v>0</v>
      </c>
      <c r="I18" s="21" t="s">
        <v>167</v>
      </c>
      <c r="J18" s="21" t="s">
        <v>102</v>
      </c>
      <c r="K18" s="21" t="s">
        <v>121</v>
      </c>
      <c r="L18" s="112">
        <v>44609</v>
      </c>
      <c r="M18" s="127">
        <v>176921</v>
      </c>
      <c r="N18" s="114">
        <v>44477</v>
      </c>
      <c r="O18" s="115" t="s">
        <v>66</v>
      </c>
      <c r="P18" s="115" t="s">
        <v>767</v>
      </c>
      <c r="Q18" s="115" t="s">
        <v>112</v>
      </c>
      <c r="R18" s="116" t="s">
        <v>168</v>
      </c>
      <c r="S18" s="115" t="s">
        <v>69</v>
      </c>
      <c r="T18" s="117">
        <v>44637</v>
      </c>
      <c r="U18" s="117"/>
      <c r="V18" s="118">
        <v>264673743</v>
      </c>
      <c r="W18" s="118">
        <f t="shared" si="4"/>
        <v>264673743</v>
      </c>
      <c r="X18" s="118" t="s">
        <v>1154</v>
      </c>
      <c r="Y18" s="118"/>
      <c r="Z18" s="118" t="s">
        <v>79</v>
      </c>
      <c r="AA18" s="118">
        <v>0</v>
      </c>
      <c r="AB18" s="119" t="s">
        <v>169</v>
      </c>
      <c r="AC18" s="120">
        <v>44648</v>
      </c>
      <c r="AD18" s="121">
        <v>890115120</v>
      </c>
      <c r="AE18" s="122" t="s">
        <v>1271</v>
      </c>
      <c r="AF18" s="126">
        <v>44659</v>
      </c>
      <c r="AG18" s="114">
        <v>45002</v>
      </c>
      <c r="AH18" s="21" t="s">
        <v>81</v>
      </c>
      <c r="AI18" s="21" t="s">
        <v>116</v>
      </c>
      <c r="AJ18" s="21"/>
      <c r="AK18" s="118">
        <v>15915191</v>
      </c>
      <c r="AL18" s="118">
        <f t="shared" si="2"/>
        <v>248758552</v>
      </c>
      <c r="AM18" s="123"/>
      <c r="AN18" s="123"/>
      <c r="AO18" s="123"/>
      <c r="AP18" s="123"/>
      <c r="AQ18" s="123"/>
      <c r="AR18" s="123"/>
      <c r="AS18" s="123"/>
      <c r="AT18" s="123"/>
      <c r="AU18" s="123"/>
      <c r="AV18" s="123">
        <v>0.1</v>
      </c>
      <c r="AW18" s="124">
        <f t="shared" si="3"/>
        <v>15915191</v>
      </c>
      <c r="AX18" s="124">
        <f>IF(AK18="","",ROUND(AL18/INT(LEFT(AH18,FIND("m",AH18)-1))*50%,0))</f>
        <v>15547410</v>
      </c>
      <c r="AY18" s="124">
        <f t="shared" si="5"/>
        <v>99503420.799999997</v>
      </c>
      <c r="AZ18" s="124">
        <f t="shared" si="6"/>
        <v>24875855.199999999</v>
      </c>
      <c r="BA18" s="21" t="s">
        <v>99</v>
      </c>
      <c r="BB18" s="21"/>
      <c r="BC18" s="21"/>
      <c r="BD18" s="21"/>
      <c r="BE18" s="21"/>
      <c r="BF18" s="21"/>
      <c r="BG18" s="21"/>
      <c r="BH18" s="21"/>
      <c r="BI18" s="21"/>
      <c r="BJ18" s="21"/>
    </row>
    <row r="19" spans="1:62" ht="14" x14ac:dyDescent="0.15">
      <c r="A19" s="17">
        <v>15</v>
      </c>
      <c r="B19" s="21" t="s">
        <v>170</v>
      </c>
      <c r="C19" s="15">
        <v>347701190</v>
      </c>
      <c r="D19" s="112">
        <v>44613</v>
      </c>
      <c r="E19" s="21" t="s">
        <v>61</v>
      </c>
      <c r="F19" s="15">
        <f t="shared" si="0"/>
        <v>347701190</v>
      </c>
      <c r="G19" s="21" t="s">
        <v>62</v>
      </c>
      <c r="H19" s="15">
        <f t="shared" si="1"/>
        <v>0</v>
      </c>
      <c r="I19" s="21" t="s">
        <v>171</v>
      </c>
      <c r="J19" s="21" t="s">
        <v>172</v>
      </c>
      <c r="K19" s="21" t="s">
        <v>121</v>
      </c>
      <c r="L19" s="112">
        <v>44609</v>
      </c>
      <c r="M19" s="127">
        <v>176921</v>
      </c>
      <c r="N19" s="114">
        <v>44477</v>
      </c>
      <c r="O19" s="115" t="s">
        <v>66</v>
      </c>
      <c r="P19" s="115" t="s">
        <v>767</v>
      </c>
      <c r="Q19" s="115" t="s">
        <v>112</v>
      </c>
      <c r="R19" s="116" t="s">
        <v>173</v>
      </c>
      <c r="S19" s="115" t="s">
        <v>69</v>
      </c>
      <c r="T19" s="117" t="s">
        <v>123</v>
      </c>
      <c r="U19" s="117" t="s">
        <v>124</v>
      </c>
      <c r="V19" s="118">
        <v>0</v>
      </c>
      <c r="W19" s="118">
        <f t="shared" si="4"/>
        <v>0</v>
      </c>
      <c r="X19" s="118" t="s">
        <v>125</v>
      </c>
      <c r="Y19" s="118"/>
      <c r="Z19" s="125" t="s">
        <v>126</v>
      </c>
      <c r="AA19" s="118"/>
      <c r="AB19" s="119" t="s">
        <v>127</v>
      </c>
      <c r="AC19" s="120"/>
      <c r="AD19" s="121"/>
      <c r="AE19" s="122" t="s">
        <v>1159</v>
      </c>
      <c r="AF19" s="126"/>
      <c r="AG19" s="114"/>
      <c r="AH19" s="21"/>
      <c r="AI19" s="21"/>
      <c r="AJ19" s="21"/>
      <c r="AK19" s="118"/>
      <c r="AL19" s="118" t="str">
        <f t="shared" si="2"/>
        <v/>
      </c>
      <c r="AM19" s="123"/>
      <c r="AN19" s="123"/>
      <c r="AO19" s="123"/>
      <c r="AP19" s="123"/>
      <c r="AQ19" s="123"/>
      <c r="AR19" s="123"/>
      <c r="AS19" s="123"/>
      <c r="AT19" s="123"/>
      <c r="AU19" s="123"/>
      <c r="AV19" s="123"/>
      <c r="AW19" s="124" t="str">
        <f t="shared" si="3"/>
        <v/>
      </c>
      <c r="AX19" s="124" t="str">
        <f>IF(AK19="","",ROUND(AL19/INT(LEFT(AH19,FIND("m",AH19)-1))*50%,0))</f>
        <v/>
      </c>
      <c r="AY19" s="124" t="str">
        <f t="shared" si="5"/>
        <v/>
      </c>
      <c r="AZ19" s="124" t="str">
        <f t="shared" si="6"/>
        <v/>
      </c>
      <c r="BA19" s="21"/>
      <c r="BB19" s="21"/>
      <c r="BC19" s="21"/>
      <c r="BD19" s="21"/>
      <c r="BE19" s="21"/>
      <c r="BF19" s="21"/>
      <c r="BG19" s="21"/>
      <c r="BH19" s="21"/>
      <c r="BI19" s="21"/>
      <c r="BJ19" s="21"/>
    </row>
    <row r="20" spans="1:62" ht="14" x14ac:dyDescent="0.15">
      <c r="A20" s="17">
        <v>16</v>
      </c>
      <c r="B20" s="21" t="s">
        <v>174</v>
      </c>
      <c r="C20" s="15">
        <v>463207280</v>
      </c>
      <c r="D20" s="112">
        <v>44613</v>
      </c>
      <c r="E20" s="21" t="s">
        <v>61</v>
      </c>
      <c r="F20" s="15">
        <f t="shared" si="0"/>
        <v>463207280</v>
      </c>
      <c r="G20" s="21" t="s">
        <v>62</v>
      </c>
      <c r="H20" s="15">
        <f t="shared" si="1"/>
        <v>0</v>
      </c>
      <c r="I20" s="21" t="s">
        <v>175</v>
      </c>
      <c r="J20" s="21" t="s">
        <v>176</v>
      </c>
      <c r="K20" s="21" t="s">
        <v>121</v>
      </c>
      <c r="L20" s="112">
        <v>44609</v>
      </c>
      <c r="M20" s="127">
        <v>176921</v>
      </c>
      <c r="N20" s="114">
        <v>44477</v>
      </c>
      <c r="O20" s="115" t="s">
        <v>66</v>
      </c>
      <c r="P20" s="115" t="s">
        <v>767</v>
      </c>
      <c r="Q20" s="115" t="s">
        <v>177</v>
      </c>
      <c r="R20" s="116" t="s">
        <v>178</v>
      </c>
      <c r="S20" s="115" t="s">
        <v>69</v>
      </c>
      <c r="T20" s="117">
        <v>44638</v>
      </c>
      <c r="U20" s="117" t="s">
        <v>124</v>
      </c>
      <c r="V20" s="118">
        <v>0</v>
      </c>
      <c r="W20" s="118">
        <v>438998997</v>
      </c>
      <c r="X20" s="118" t="s">
        <v>125</v>
      </c>
      <c r="Y20" s="118"/>
      <c r="Z20" s="125" t="s">
        <v>179</v>
      </c>
      <c r="AA20" s="118">
        <v>438998997</v>
      </c>
      <c r="AB20" s="119" t="s">
        <v>180</v>
      </c>
      <c r="AC20" s="120">
        <v>44672</v>
      </c>
      <c r="AD20" s="121">
        <v>901580225</v>
      </c>
      <c r="AE20" s="122" t="s">
        <v>1272</v>
      </c>
      <c r="AF20" s="126"/>
      <c r="AG20" s="114"/>
      <c r="AH20" s="21" t="s">
        <v>97</v>
      </c>
      <c r="AI20" s="126"/>
      <c r="AJ20" s="126">
        <v>44761</v>
      </c>
      <c r="AK20" s="118">
        <v>24575823</v>
      </c>
      <c r="AL20" s="118">
        <f t="shared" si="2"/>
        <v>-24575823</v>
      </c>
      <c r="AM20" s="123"/>
      <c r="AN20" s="123"/>
      <c r="AO20" s="123"/>
      <c r="AP20" s="123"/>
      <c r="AQ20" s="123"/>
      <c r="AR20" s="123"/>
      <c r="AS20" s="123"/>
      <c r="AT20" s="123"/>
      <c r="AU20" s="123"/>
      <c r="AV20" s="123">
        <v>0.1</v>
      </c>
      <c r="AW20" s="124">
        <f t="shared" si="3"/>
        <v>24575823</v>
      </c>
      <c r="AX20" s="124">
        <f>IF(AK20="","",ROUND(AL20/INT(LEFT(AH20,FIND("m",AH20)-1))*50%,0))</f>
        <v>-1228791</v>
      </c>
      <c r="AY20" s="124">
        <f t="shared" si="5"/>
        <v>-9830329.1999999993</v>
      </c>
      <c r="AZ20" s="124">
        <f t="shared" si="6"/>
        <v>-2457582.2999999998</v>
      </c>
      <c r="BA20" s="21"/>
      <c r="BB20" s="21"/>
      <c r="BC20" s="21"/>
      <c r="BD20" s="21"/>
      <c r="BE20" s="21"/>
      <c r="BF20" s="21"/>
      <c r="BG20" s="21"/>
      <c r="BH20" s="21"/>
      <c r="BI20" s="21"/>
      <c r="BJ20" s="21"/>
    </row>
    <row r="21" spans="1:62" ht="14" x14ac:dyDescent="0.15">
      <c r="A21" s="17">
        <v>17</v>
      </c>
      <c r="B21" s="21" t="s">
        <v>181</v>
      </c>
      <c r="C21" s="15">
        <v>175730170</v>
      </c>
      <c r="D21" s="112">
        <v>44613</v>
      </c>
      <c r="E21" s="21" t="s">
        <v>61</v>
      </c>
      <c r="F21" s="15">
        <f t="shared" si="0"/>
        <v>175730170</v>
      </c>
      <c r="G21" s="21" t="s">
        <v>62</v>
      </c>
      <c r="H21" s="15">
        <f t="shared" si="1"/>
        <v>0</v>
      </c>
      <c r="I21" s="21" t="s">
        <v>182</v>
      </c>
      <c r="J21" s="21" t="s">
        <v>172</v>
      </c>
      <c r="K21" s="21" t="s">
        <v>121</v>
      </c>
      <c r="L21" s="112">
        <v>44609</v>
      </c>
      <c r="M21" s="127">
        <v>176921</v>
      </c>
      <c r="N21" s="114">
        <v>44477</v>
      </c>
      <c r="O21" s="115" t="s">
        <v>66</v>
      </c>
      <c r="P21" s="115" t="s">
        <v>767</v>
      </c>
      <c r="Q21" s="115" t="s">
        <v>112</v>
      </c>
      <c r="R21" s="116" t="s">
        <v>183</v>
      </c>
      <c r="S21" s="115" t="s">
        <v>69</v>
      </c>
      <c r="T21" s="117">
        <v>44631</v>
      </c>
      <c r="U21" s="117"/>
      <c r="V21" s="118">
        <v>170809726</v>
      </c>
      <c r="W21" s="118">
        <f t="shared" si="4"/>
        <v>170809726</v>
      </c>
      <c r="X21" s="118" t="s">
        <v>1154</v>
      </c>
      <c r="Y21" s="118"/>
      <c r="Z21" s="125" t="s">
        <v>79</v>
      </c>
      <c r="AA21" s="118">
        <v>0</v>
      </c>
      <c r="AB21" s="119" t="s">
        <v>184</v>
      </c>
      <c r="AC21" s="120">
        <v>44651</v>
      </c>
      <c r="AD21" s="121">
        <v>901579530</v>
      </c>
      <c r="AE21" s="122" t="s">
        <v>1269</v>
      </c>
      <c r="AF21" s="126">
        <v>44685</v>
      </c>
      <c r="AG21" s="114">
        <v>45052</v>
      </c>
      <c r="AH21" s="21" t="s">
        <v>185</v>
      </c>
      <c r="AI21" s="21" t="s">
        <v>186</v>
      </c>
      <c r="AJ21" s="21"/>
      <c r="AK21" s="118">
        <v>12054569</v>
      </c>
      <c r="AL21" s="118">
        <f t="shared" si="2"/>
        <v>158755157</v>
      </c>
      <c r="AM21" s="123"/>
      <c r="AN21" s="123"/>
      <c r="AO21" s="123"/>
      <c r="AP21" s="123"/>
      <c r="AQ21" s="123"/>
      <c r="AR21" s="123"/>
      <c r="AS21" s="123"/>
      <c r="AT21" s="123"/>
      <c r="AU21" s="123"/>
      <c r="AV21" s="123">
        <v>0.1</v>
      </c>
      <c r="AW21" s="124">
        <f t="shared" si="3"/>
        <v>12054569</v>
      </c>
      <c r="AX21" s="124">
        <f>IF(AK21="","",ROUND(AL21/INT(LEFT(AH21,FIND("m",AH21)-1))*50%,2))</f>
        <v>11339654.07</v>
      </c>
      <c r="AY21" s="124">
        <f t="shared" si="5"/>
        <v>63502062.799999997</v>
      </c>
      <c r="AZ21" s="124">
        <f t="shared" si="6"/>
        <v>15875515.699999999</v>
      </c>
      <c r="BA21" s="21" t="s">
        <v>165</v>
      </c>
      <c r="BB21" s="21"/>
      <c r="BC21" s="21"/>
      <c r="BD21" s="21"/>
      <c r="BE21" s="21"/>
      <c r="BF21" s="21"/>
      <c r="BG21" s="21"/>
      <c r="BH21" s="21"/>
      <c r="BI21" s="21"/>
      <c r="BJ21" s="21"/>
    </row>
    <row r="22" spans="1:62" ht="14" x14ac:dyDescent="0.15">
      <c r="A22" s="17">
        <v>18</v>
      </c>
      <c r="B22" s="21" t="s">
        <v>187</v>
      </c>
      <c r="C22" s="15">
        <v>265961060</v>
      </c>
      <c r="D22" s="112">
        <v>44613</v>
      </c>
      <c r="E22" s="21" t="s">
        <v>61</v>
      </c>
      <c r="F22" s="15">
        <f t="shared" si="0"/>
        <v>265961060</v>
      </c>
      <c r="G22" s="21" t="s">
        <v>62</v>
      </c>
      <c r="H22" s="15">
        <f t="shared" si="1"/>
        <v>0</v>
      </c>
      <c r="I22" s="21" t="s">
        <v>188</v>
      </c>
      <c r="J22" s="21" t="s">
        <v>64</v>
      </c>
      <c r="K22" s="21" t="s">
        <v>121</v>
      </c>
      <c r="L22" s="112">
        <v>44609</v>
      </c>
      <c r="M22" s="127">
        <v>176921</v>
      </c>
      <c r="N22" s="114">
        <v>44477</v>
      </c>
      <c r="O22" s="115" t="s">
        <v>66</v>
      </c>
      <c r="P22" s="115" t="s">
        <v>767</v>
      </c>
      <c r="Q22" s="115" t="s">
        <v>112</v>
      </c>
      <c r="R22" s="116" t="s">
        <v>189</v>
      </c>
      <c r="S22" s="115" t="s">
        <v>69</v>
      </c>
      <c r="T22" s="117">
        <v>44636</v>
      </c>
      <c r="U22" s="117"/>
      <c r="V22" s="118">
        <v>250699087</v>
      </c>
      <c r="W22" s="118">
        <f t="shared" si="4"/>
        <v>250699087</v>
      </c>
      <c r="X22" s="118" t="s">
        <v>1154</v>
      </c>
      <c r="Y22" s="118"/>
      <c r="Z22" s="125" t="s">
        <v>79</v>
      </c>
      <c r="AA22" s="118">
        <v>0</v>
      </c>
      <c r="AB22" s="119" t="s">
        <v>190</v>
      </c>
      <c r="AC22" s="120">
        <v>44671</v>
      </c>
      <c r="AD22" s="121">
        <v>901580292</v>
      </c>
      <c r="AE22" s="122" t="s">
        <v>1273</v>
      </c>
      <c r="AF22" s="126">
        <v>44687</v>
      </c>
      <c r="AG22" s="114">
        <v>44986</v>
      </c>
      <c r="AH22" s="21" t="s">
        <v>185</v>
      </c>
      <c r="AI22" s="21" t="s">
        <v>116</v>
      </c>
      <c r="AJ22" s="21"/>
      <c r="AK22" s="118">
        <v>20170189</v>
      </c>
      <c r="AL22" s="118">
        <f t="shared" si="2"/>
        <v>230528898</v>
      </c>
      <c r="AM22" s="123"/>
      <c r="AN22" s="123"/>
      <c r="AO22" s="123"/>
      <c r="AP22" s="123"/>
      <c r="AQ22" s="123"/>
      <c r="AR22" s="123"/>
      <c r="AS22" s="123"/>
      <c r="AT22" s="123"/>
      <c r="AU22" s="123"/>
      <c r="AV22" s="123">
        <v>0.1</v>
      </c>
      <c r="AW22" s="124">
        <f t="shared" si="3"/>
        <v>20170189</v>
      </c>
      <c r="AX22" s="124">
        <f>IF(AK22="","",ROUND(AL22/INT(LEFT(AH22,FIND("m",AH22)-1))*50%,0))</f>
        <v>16466350</v>
      </c>
      <c r="AY22" s="124">
        <f t="shared" si="5"/>
        <v>92211559.200000003</v>
      </c>
      <c r="AZ22" s="124">
        <f t="shared" si="6"/>
        <v>23052889.800000001</v>
      </c>
      <c r="BA22" s="21" t="s">
        <v>99</v>
      </c>
      <c r="BB22" s="21"/>
      <c r="BC22" s="21"/>
      <c r="BD22" s="21"/>
      <c r="BE22" s="21"/>
      <c r="BF22" s="21"/>
      <c r="BG22" s="21"/>
      <c r="BH22" s="21"/>
      <c r="BI22" s="21"/>
      <c r="BJ22" s="21"/>
    </row>
    <row r="23" spans="1:62" ht="14" x14ac:dyDescent="0.15">
      <c r="A23" s="17">
        <v>19</v>
      </c>
      <c r="B23" s="21" t="s">
        <v>191</v>
      </c>
      <c r="C23" s="15">
        <v>379866940</v>
      </c>
      <c r="D23" s="112">
        <v>44613</v>
      </c>
      <c r="E23" s="21" t="s">
        <v>61</v>
      </c>
      <c r="F23" s="15">
        <f t="shared" si="0"/>
        <v>379866940</v>
      </c>
      <c r="G23" s="21" t="s">
        <v>62</v>
      </c>
      <c r="H23" s="15">
        <f t="shared" si="1"/>
        <v>0</v>
      </c>
      <c r="I23" s="21" t="s">
        <v>192</v>
      </c>
      <c r="J23" s="21" t="s">
        <v>176</v>
      </c>
      <c r="K23" s="21" t="s">
        <v>193</v>
      </c>
      <c r="L23" s="112">
        <v>44606</v>
      </c>
      <c r="M23" s="127">
        <v>176921</v>
      </c>
      <c r="N23" s="114">
        <v>44477</v>
      </c>
      <c r="O23" s="115" t="s">
        <v>66</v>
      </c>
      <c r="P23" s="115" t="s">
        <v>767</v>
      </c>
      <c r="Q23" s="115" t="s">
        <v>112</v>
      </c>
      <c r="R23" s="116" t="s">
        <v>194</v>
      </c>
      <c r="S23" s="115" t="s">
        <v>69</v>
      </c>
      <c r="T23" s="117">
        <v>44630</v>
      </c>
      <c r="U23" s="117"/>
      <c r="V23" s="118">
        <v>361276747</v>
      </c>
      <c r="W23" s="118">
        <f t="shared" si="4"/>
        <v>361276747</v>
      </c>
      <c r="X23" s="118" t="s">
        <v>1154</v>
      </c>
      <c r="Y23" s="118"/>
      <c r="Z23" s="125" t="s">
        <v>79</v>
      </c>
      <c r="AA23" s="118"/>
      <c r="AB23" s="119" t="s">
        <v>195</v>
      </c>
      <c r="AC23" s="120">
        <v>44648</v>
      </c>
      <c r="AD23" s="121">
        <v>901575654</v>
      </c>
      <c r="AE23" s="122" t="s">
        <v>1274</v>
      </c>
      <c r="AF23" s="128">
        <v>44678</v>
      </c>
      <c r="AG23" s="114">
        <v>45029</v>
      </c>
      <c r="AH23" s="21" t="s">
        <v>81</v>
      </c>
      <c r="AI23" s="21" t="s">
        <v>196</v>
      </c>
      <c r="AJ23" s="21"/>
      <c r="AK23" s="118">
        <v>25977877</v>
      </c>
      <c r="AL23" s="118">
        <f t="shared" si="2"/>
        <v>335298870</v>
      </c>
      <c r="AM23" s="123"/>
      <c r="AN23" s="123"/>
      <c r="AO23" s="123"/>
      <c r="AP23" s="123"/>
      <c r="AQ23" s="123"/>
      <c r="AR23" s="123"/>
      <c r="AS23" s="123"/>
      <c r="AT23" s="123"/>
      <c r="AU23" s="123"/>
      <c r="AV23" s="123">
        <v>0.1</v>
      </c>
      <c r="AW23" s="124">
        <f t="shared" si="3"/>
        <v>25977877</v>
      </c>
      <c r="AX23" s="124">
        <f>IF(AK23="","",ROUND(AL23/INT(LEFT(AH23,FIND("m",AH23)-1))*50%,0))</f>
        <v>20956179</v>
      </c>
      <c r="AY23" s="124">
        <f t="shared" si="5"/>
        <v>134119548</v>
      </c>
      <c r="AZ23" s="124">
        <f t="shared" si="6"/>
        <v>33529887</v>
      </c>
      <c r="BA23" s="21" t="s">
        <v>165</v>
      </c>
      <c r="BB23" s="21"/>
      <c r="BC23" s="21"/>
      <c r="BD23" s="21"/>
      <c r="BE23" s="21"/>
      <c r="BF23" s="21"/>
      <c r="BG23" s="21"/>
      <c r="BH23" s="21"/>
      <c r="BI23" s="21"/>
      <c r="BJ23" s="21"/>
    </row>
    <row r="24" spans="1:62" ht="14" x14ac:dyDescent="0.15">
      <c r="A24" s="17">
        <v>20</v>
      </c>
      <c r="B24" s="21" t="s">
        <v>197</v>
      </c>
      <c r="C24" s="15">
        <v>341840450</v>
      </c>
      <c r="D24" s="112">
        <v>44613</v>
      </c>
      <c r="E24" s="21" t="s">
        <v>61</v>
      </c>
      <c r="F24" s="15">
        <f t="shared" si="0"/>
        <v>341840450</v>
      </c>
      <c r="G24" s="21" t="s">
        <v>62</v>
      </c>
      <c r="H24" s="15">
        <f t="shared" si="1"/>
        <v>0</v>
      </c>
      <c r="I24" s="21" t="s">
        <v>198</v>
      </c>
      <c r="J24" s="21" t="s">
        <v>199</v>
      </c>
      <c r="K24" s="21" t="s">
        <v>193</v>
      </c>
      <c r="L24" s="112">
        <v>44606</v>
      </c>
      <c r="M24" s="127">
        <v>176921</v>
      </c>
      <c r="N24" s="114">
        <v>44477</v>
      </c>
      <c r="O24" s="115" t="s">
        <v>66</v>
      </c>
      <c r="P24" s="115" t="s">
        <v>767</v>
      </c>
      <c r="Q24" s="115" t="s">
        <v>112</v>
      </c>
      <c r="R24" s="116" t="s">
        <v>200</v>
      </c>
      <c r="S24" s="115" t="s">
        <v>69</v>
      </c>
      <c r="T24" s="117">
        <v>44630</v>
      </c>
      <c r="U24" s="117"/>
      <c r="V24" s="118">
        <v>321276200</v>
      </c>
      <c r="W24" s="118">
        <f t="shared" si="4"/>
        <v>321276200</v>
      </c>
      <c r="X24" s="118" t="s">
        <v>1154</v>
      </c>
      <c r="Y24" s="118"/>
      <c r="Z24" s="125" t="s">
        <v>79</v>
      </c>
      <c r="AA24" s="118">
        <v>0</v>
      </c>
      <c r="AB24" s="119" t="s">
        <v>201</v>
      </c>
      <c r="AC24" s="120">
        <v>44645</v>
      </c>
      <c r="AD24" s="121">
        <v>900457115</v>
      </c>
      <c r="AE24" s="122" t="s">
        <v>1275</v>
      </c>
      <c r="AF24" s="128">
        <v>44657</v>
      </c>
      <c r="AG24" s="114">
        <v>45084</v>
      </c>
      <c r="AH24" s="21" t="s">
        <v>81</v>
      </c>
      <c r="AI24" s="21" t="s">
        <v>202</v>
      </c>
      <c r="AJ24" s="21"/>
      <c r="AK24" s="118">
        <v>21063000</v>
      </c>
      <c r="AL24" s="118">
        <f t="shared" si="2"/>
        <v>300213200</v>
      </c>
      <c r="AM24" s="123"/>
      <c r="AN24" s="123"/>
      <c r="AO24" s="123"/>
      <c r="AP24" s="123"/>
      <c r="AQ24" s="123"/>
      <c r="AR24" s="123"/>
      <c r="AS24" s="123"/>
      <c r="AT24" s="123"/>
      <c r="AU24" s="123"/>
      <c r="AV24" s="123">
        <v>0.1</v>
      </c>
      <c r="AW24" s="124">
        <f t="shared" si="3"/>
        <v>21063000</v>
      </c>
      <c r="AX24" s="124">
        <f>IF(AK24="","",ROUND(AL24/INT(LEFT(AH24,FIND("m",AH24)-1))*50%,2))</f>
        <v>18763325</v>
      </c>
      <c r="AY24" s="124">
        <f t="shared" si="5"/>
        <v>120085280</v>
      </c>
      <c r="AZ24" s="124">
        <f t="shared" si="6"/>
        <v>30021320</v>
      </c>
      <c r="BA24" s="21" t="s">
        <v>83</v>
      </c>
      <c r="BB24" s="21"/>
      <c r="BC24" s="21"/>
      <c r="BD24" s="21"/>
      <c r="BE24" s="21"/>
      <c r="BF24" s="21"/>
      <c r="BG24" s="21"/>
      <c r="BH24" s="21"/>
      <c r="BI24" s="21"/>
      <c r="BJ24" s="21"/>
    </row>
    <row r="25" spans="1:62" ht="14" x14ac:dyDescent="0.15">
      <c r="A25" s="17">
        <v>21</v>
      </c>
      <c r="B25" s="21" t="s">
        <v>203</v>
      </c>
      <c r="C25" s="15">
        <v>487576840</v>
      </c>
      <c r="D25" s="112">
        <v>44613</v>
      </c>
      <c r="E25" s="21" t="s">
        <v>61</v>
      </c>
      <c r="F25" s="15">
        <f t="shared" si="0"/>
        <v>487576840</v>
      </c>
      <c r="G25" s="21" t="s">
        <v>62</v>
      </c>
      <c r="H25" s="15">
        <f t="shared" si="1"/>
        <v>0</v>
      </c>
      <c r="I25" s="21" t="s">
        <v>141</v>
      </c>
      <c r="J25" s="21" t="s">
        <v>141</v>
      </c>
      <c r="K25" s="21" t="s">
        <v>193</v>
      </c>
      <c r="L25" s="112">
        <v>44606</v>
      </c>
      <c r="M25" s="127">
        <v>176921</v>
      </c>
      <c r="N25" s="114">
        <v>44477</v>
      </c>
      <c r="O25" s="115" t="s">
        <v>66</v>
      </c>
      <c r="P25" s="115" t="s">
        <v>767</v>
      </c>
      <c r="Q25" s="115" t="s">
        <v>112</v>
      </c>
      <c r="R25" s="116" t="s">
        <v>204</v>
      </c>
      <c r="S25" s="115" t="s">
        <v>69</v>
      </c>
      <c r="T25" s="117">
        <v>44630</v>
      </c>
      <c r="U25" s="117"/>
      <c r="V25" s="118">
        <v>461491479</v>
      </c>
      <c r="W25" s="118">
        <f t="shared" si="4"/>
        <v>461491479</v>
      </c>
      <c r="X25" s="118" t="s">
        <v>1154</v>
      </c>
      <c r="Y25" s="118"/>
      <c r="Z25" s="125" t="s">
        <v>70</v>
      </c>
      <c r="AA25" s="118"/>
      <c r="AB25" s="119" t="s">
        <v>205</v>
      </c>
      <c r="AC25" s="120">
        <v>44638</v>
      </c>
      <c r="AD25" s="121">
        <v>87069865</v>
      </c>
      <c r="AE25" s="122" t="s">
        <v>1268</v>
      </c>
      <c r="AF25" s="128">
        <v>44659</v>
      </c>
      <c r="AG25" s="114">
        <v>45075</v>
      </c>
      <c r="AH25" s="21" t="s">
        <v>81</v>
      </c>
      <c r="AI25" s="21" t="s">
        <v>206</v>
      </c>
      <c r="AJ25" s="21"/>
      <c r="AK25" s="118">
        <v>31357337</v>
      </c>
      <c r="AL25" s="118">
        <f t="shared" si="2"/>
        <v>430134142</v>
      </c>
      <c r="AM25" s="123"/>
      <c r="AN25" s="123"/>
      <c r="AO25" s="123"/>
      <c r="AP25" s="123"/>
      <c r="AQ25" s="123"/>
      <c r="AR25" s="123"/>
      <c r="AS25" s="123"/>
      <c r="AT25" s="123"/>
      <c r="AU25" s="123"/>
      <c r="AV25" s="123">
        <v>0.1</v>
      </c>
      <c r="AW25" s="124">
        <f t="shared" si="3"/>
        <v>31357337</v>
      </c>
      <c r="AX25" s="124">
        <f>IF(AK25="","",ROUND(AL25/INT(LEFT(AH25,FIND("m",AH25)-1))*50%,0))</f>
        <v>26883384</v>
      </c>
      <c r="AY25" s="124">
        <f t="shared" si="5"/>
        <v>172053656.80000001</v>
      </c>
      <c r="AZ25" s="124">
        <f t="shared" si="6"/>
        <v>43013414.200000003</v>
      </c>
      <c r="BA25" s="21" t="s">
        <v>83</v>
      </c>
      <c r="BB25" s="21"/>
      <c r="BC25" s="21"/>
      <c r="BD25" s="21"/>
      <c r="BE25" s="21"/>
      <c r="BF25" s="21"/>
      <c r="BG25" s="21"/>
      <c r="BH25" s="21"/>
      <c r="BI25" s="21"/>
      <c r="BJ25" s="21"/>
    </row>
    <row r="26" spans="1:62" ht="14" x14ac:dyDescent="0.15">
      <c r="A26" s="17">
        <v>22</v>
      </c>
      <c r="B26" s="21" t="s">
        <v>207</v>
      </c>
      <c r="C26" s="15">
        <v>156422820</v>
      </c>
      <c r="D26" s="112">
        <v>44613</v>
      </c>
      <c r="E26" s="21" t="s">
        <v>61</v>
      </c>
      <c r="F26" s="15">
        <f t="shared" si="0"/>
        <v>156422820</v>
      </c>
      <c r="G26" s="21" t="s">
        <v>62</v>
      </c>
      <c r="H26" s="15">
        <f t="shared" si="1"/>
        <v>0</v>
      </c>
      <c r="I26" s="21" t="s">
        <v>208</v>
      </c>
      <c r="J26" s="21" t="s">
        <v>141</v>
      </c>
      <c r="K26" s="21" t="s">
        <v>121</v>
      </c>
      <c r="L26" s="112">
        <v>44609</v>
      </c>
      <c r="M26" s="127">
        <v>176921</v>
      </c>
      <c r="N26" s="114">
        <v>44477</v>
      </c>
      <c r="O26" s="115" t="s">
        <v>66</v>
      </c>
      <c r="P26" s="115" t="s">
        <v>767</v>
      </c>
      <c r="Q26" s="115" t="s">
        <v>112</v>
      </c>
      <c r="R26" s="116" t="s">
        <v>209</v>
      </c>
      <c r="S26" s="115" t="s">
        <v>69</v>
      </c>
      <c r="T26" s="117" t="s">
        <v>123</v>
      </c>
      <c r="U26" s="117" t="s">
        <v>124</v>
      </c>
      <c r="V26" s="118">
        <v>0</v>
      </c>
      <c r="W26" s="118">
        <f t="shared" si="4"/>
        <v>0</v>
      </c>
      <c r="X26" s="118" t="s">
        <v>125</v>
      </c>
      <c r="Y26" s="118"/>
      <c r="Z26" s="125" t="s">
        <v>126</v>
      </c>
      <c r="AA26" s="118"/>
      <c r="AB26" s="119" t="s">
        <v>127</v>
      </c>
      <c r="AC26" s="120"/>
      <c r="AD26" s="121"/>
      <c r="AE26" s="122" t="s">
        <v>1159</v>
      </c>
      <c r="AF26" s="126"/>
      <c r="AG26" s="114"/>
      <c r="AH26" s="21"/>
      <c r="AI26" s="21"/>
      <c r="AJ26" s="21"/>
      <c r="AK26" s="118"/>
      <c r="AL26" s="118" t="str">
        <f t="shared" si="2"/>
        <v/>
      </c>
      <c r="AM26" s="123"/>
      <c r="AN26" s="123"/>
      <c r="AO26" s="123"/>
      <c r="AP26" s="123"/>
      <c r="AQ26" s="123"/>
      <c r="AR26" s="123"/>
      <c r="AS26" s="123"/>
      <c r="AT26" s="123"/>
      <c r="AU26" s="123"/>
      <c r="AV26" s="123"/>
      <c r="AW26" s="124" t="str">
        <f t="shared" si="3"/>
        <v/>
      </c>
      <c r="AX26" s="124" t="str">
        <f>IF(AK26="","",ROUND(AL26/INT(LEFT(AH26,FIND("m",AH26)-1))*50%,0))</f>
        <v/>
      </c>
      <c r="AY26" s="124" t="str">
        <f t="shared" si="5"/>
        <v/>
      </c>
      <c r="AZ26" s="124" t="str">
        <f t="shared" si="6"/>
        <v/>
      </c>
      <c r="BA26" s="21"/>
      <c r="BB26" s="21"/>
      <c r="BC26" s="21"/>
      <c r="BD26" s="21"/>
      <c r="BE26" s="21"/>
      <c r="BF26" s="21"/>
      <c r="BG26" s="21"/>
      <c r="BH26" s="21"/>
      <c r="BI26" s="21"/>
      <c r="BJ26" s="21"/>
    </row>
    <row r="27" spans="1:62" ht="14" x14ac:dyDescent="0.15">
      <c r="A27" s="17">
        <v>23</v>
      </c>
      <c r="B27" s="21" t="s">
        <v>210</v>
      </c>
      <c r="C27" s="15">
        <v>179375050</v>
      </c>
      <c r="D27" s="112">
        <v>44613</v>
      </c>
      <c r="E27" s="21" t="s">
        <v>61</v>
      </c>
      <c r="F27" s="15">
        <f t="shared" si="0"/>
        <v>179375050</v>
      </c>
      <c r="G27" s="21" t="s">
        <v>62</v>
      </c>
      <c r="H27" s="15">
        <f t="shared" si="1"/>
        <v>0</v>
      </c>
      <c r="I27" s="21" t="s">
        <v>211</v>
      </c>
      <c r="J27" s="21" t="s">
        <v>141</v>
      </c>
      <c r="K27" s="21" t="s">
        <v>212</v>
      </c>
      <c r="L27" s="112">
        <v>44608</v>
      </c>
      <c r="M27" s="127">
        <v>176921</v>
      </c>
      <c r="N27" s="114">
        <v>44477</v>
      </c>
      <c r="O27" s="115" t="s">
        <v>66</v>
      </c>
      <c r="P27" s="115" t="s">
        <v>767</v>
      </c>
      <c r="Q27" s="115" t="s">
        <v>112</v>
      </c>
      <c r="R27" s="116" t="s">
        <v>213</v>
      </c>
      <c r="S27" s="115" t="s">
        <v>69</v>
      </c>
      <c r="T27" s="117">
        <v>44629</v>
      </c>
      <c r="U27" s="117"/>
      <c r="V27" s="118">
        <v>173096926</v>
      </c>
      <c r="W27" s="118">
        <f t="shared" si="4"/>
        <v>173096926</v>
      </c>
      <c r="X27" s="118" t="s">
        <v>1154</v>
      </c>
      <c r="Y27" s="118"/>
      <c r="Z27" s="125" t="s">
        <v>79</v>
      </c>
      <c r="AA27" s="118">
        <v>0</v>
      </c>
      <c r="AB27" s="119" t="s">
        <v>214</v>
      </c>
      <c r="AC27" s="120">
        <v>44642</v>
      </c>
      <c r="AD27" s="121">
        <v>87069865</v>
      </c>
      <c r="AE27" s="122" t="s">
        <v>1268</v>
      </c>
      <c r="AF27" s="126">
        <v>44659</v>
      </c>
      <c r="AG27" s="114">
        <v>44987</v>
      </c>
      <c r="AH27" s="21" t="s">
        <v>163</v>
      </c>
      <c r="AI27" s="21" t="s">
        <v>215</v>
      </c>
      <c r="AJ27" s="21"/>
      <c r="AK27" s="118">
        <v>12745441</v>
      </c>
      <c r="AL27" s="118">
        <f t="shared" si="2"/>
        <v>160351485</v>
      </c>
      <c r="AM27" s="123"/>
      <c r="AN27" s="123"/>
      <c r="AO27" s="123"/>
      <c r="AP27" s="123"/>
      <c r="AQ27" s="123"/>
      <c r="AR27" s="123"/>
      <c r="AS27" s="123"/>
      <c r="AT27" s="123"/>
      <c r="AU27" s="123"/>
      <c r="AV27" s="123">
        <v>0.1</v>
      </c>
      <c r="AW27" s="124">
        <f t="shared" si="3"/>
        <v>12745441</v>
      </c>
      <c r="AX27" s="124">
        <f>IF(AK27="","",ROUND(AL27/INT(LEFT(AH27,FIND("m",AH27)-1))*50%,0))</f>
        <v>13362624</v>
      </c>
      <c r="AY27" s="124">
        <f t="shared" si="5"/>
        <v>64140594</v>
      </c>
      <c r="AZ27" s="124">
        <f t="shared" si="6"/>
        <v>16035148.5</v>
      </c>
      <c r="BA27" s="21" t="s">
        <v>165</v>
      </c>
      <c r="BB27" s="21"/>
      <c r="BC27" s="21"/>
      <c r="BD27" s="21"/>
      <c r="BE27" s="21"/>
      <c r="BF27" s="21"/>
      <c r="BG27" s="21"/>
      <c r="BH27" s="21"/>
      <c r="BI27" s="21"/>
      <c r="BJ27" s="21"/>
    </row>
    <row r="28" spans="1:62" ht="14" x14ac:dyDescent="0.15">
      <c r="A28" s="17">
        <v>24</v>
      </c>
      <c r="B28" s="21" t="s">
        <v>216</v>
      </c>
      <c r="C28" s="15">
        <v>225811790</v>
      </c>
      <c r="D28" s="112">
        <v>44613</v>
      </c>
      <c r="E28" s="21" t="s">
        <v>61</v>
      </c>
      <c r="F28" s="15">
        <f t="shared" si="0"/>
        <v>225811790</v>
      </c>
      <c r="G28" s="21" t="s">
        <v>62</v>
      </c>
      <c r="H28" s="15">
        <f t="shared" si="1"/>
        <v>0</v>
      </c>
      <c r="I28" s="21" t="s">
        <v>217</v>
      </c>
      <c r="J28" s="21" t="s">
        <v>64</v>
      </c>
      <c r="K28" s="21" t="s">
        <v>212</v>
      </c>
      <c r="L28" s="112">
        <v>44608</v>
      </c>
      <c r="M28" s="127">
        <v>176921</v>
      </c>
      <c r="N28" s="114">
        <v>44477</v>
      </c>
      <c r="O28" s="115" t="s">
        <v>66</v>
      </c>
      <c r="P28" s="115" t="s">
        <v>767</v>
      </c>
      <c r="Q28" s="115" t="s">
        <v>112</v>
      </c>
      <c r="R28" s="116" t="s">
        <v>218</v>
      </c>
      <c r="S28" s="115" t="s">
        <v>69</v>
      </c>
      <c r="T28" s="117">
        <v>44630</v>
      </c>
      <c r="U28" s="117"/>
      <c r="V28" s="118">
        <v>213783500</v>
      </c>
      <c r="W28" s="118">
        <f t="shared" si="4"/>
        <v>213783500</v>
      </c>
      <c r="X28" s="118" t="s">
        <v>1154</v>
      </c>
      <c r="Y28" s="118"/>
      <c r="Z28" s="125" t="s">
        <v>70</v>
      </c>
      <c r="AA28" s="118"/>
      <c r="AB28" s="119" t="s">
        <v>219</v>
      </c>
      <c r="AC28" s="120">
        <v>44671</v>
      </c>
      <c r="AD28" s="121">
        <v>901579969</v>
      </c>
      <c r="AE28" s="122" t="s">
        <v>1276</v>
      </c>
      <c r="AF28" s="126">
        <v>44671</v>
      </c>
      <c r="AG28" s="114">
        <v>45149</v>
      </c>
      <c r="AH28" s="21" t="s">
        <v>81</v>
      </c>
      <c r="AI28" s="21" t="s">
        <v>220</v>
      </c>
      <c r="AJ28" s="21"/>
      <c r="AK28" s="118">
        <v>10710000</v>
      </c>
      <c r="AL28" s="118">
        <f t="shared" si="2"/>
        <v>203073500</v>
      </c>
      <c r="AM28" s="123"/>
      <c r="AN28" s="123"/>
      <c r="AO28" s="123"/>
      <c r="AP28" s="123"/>
      <c r="AQ28" s="123"/>
      <c r="AR28" s="123"/>
      <c r="AS28" s="123"/>
      <c r="AT28" s="123"/>
      <c r="AU28" s="123"/>
      <c r="AV28" s="123">
        <v>0.1</v>
      </c>
      <c r="AW28" s="124">
        <f t="shared" si="3"/>
        <v>10710000</v>
      </c>
      <c r="AX28" s="124">
        <f>IF(AK28="","",ROUND(AL28/INT(LEFT(AH28,FIND("m",AH28)-1))*50%,0))</f>
        <v>12692094</v>
      </c>
      <c r="AY28" s="124">
        <f t="shared" si="5"/>
        <v>81229400</v>
      </c>
      <c r="AZ28" s="124">
        <f t="shared" si="6"/>
        <v>20307350</v>
      </c>
      <c r="BA28" s="21" t="s">
        <v>74</v>
      </c>
      <c r="BB28" s="21"/>
      <c r="BC28" s="21"/>
      <c r="BD28" s="21"/>
      <c r="BE28" s="21"/>
      <c r="BF28" s="21"/>
      <c r="BG28" s="21"/>
      <c r="BH28" s="21"/>
      <c r="BI28" s="21"/>
      <c r="BJ28" s="21"/>
    </row>
    <row r="29" spans="1:62" ht="14" x14ac:dyDescent="0.15">
      <c r="A29" s="17">
        <v>25</v>
      </c>
      <c r="B29" s="21" t="s">
        <v>221</v>
      </c>
      <c r="C29" s="15">
        <v>317110620</v>
      </c>
      <c r="D29" s="112">
        <v>44613</v>
      </c>
      <c r="E29" s="21" t="s">
        <v>61</v>
      </c>
      <c r="F29" s="15">
        <f t="shared" si="0"/>
        <v>317110620</v>
      </c>
      <c r="G29" s="21" t="s">
        <v>62</v>
      </c>
      <c r="H29" s="15">
        <f t="shared" si="1"/>
        <v>0</v>
      </c>
      <c r="I29" s="21" t="s">
        <v>222</v>
      </c>
      <c r="J29" s="21" t="s">
        <v>223</v>
      </c>
      <c r="K29" s="21" t="s">
        <v>212</v>
      </c>
      <c r="L29" s="112">
        <v>44608</v>
      </c>
      <c r="M29" s="127">
        <v>176921</v>
      </c>
      <c r="N29" s="114">
        <v>44477</v>
      </c>
      <c r="O29" s="115" t="s">
        <v>66</v>
      </c>
      <c r="P29" s="115" t="s">
        <v>767</v>
      </c>
      <c r="Q29" s="115" t="s">
        <v>112</v>
      </c>
      <c r="R29" s="116" t="s">
        <v>224</v>
      </c>
      <c r="S29" s="115" t="s">
        <v>69</v>
      </c>
      <c r="T29" s="117">
        <v>44635</v>
      </c>
      <c r="U29" s="117"/>
      <c r="V29" s="118">
        <v>296656995</v>
      </c>
      <c r="W29" s="118">
        <f t="shared" si="4"/>
        <v>296656995</v>
      </c>
      <c r="X29" s="118" t="s">
        <v>1154</v>
      </c>
      <c r="Y29" s="118"/>
      <c r="Z29" s="125" t="s">
        <v>70</v>
      </c>
      <c r="AA29" s="118"/>
      <c r="AB29" s="119" t="s">
        <v>225</v>
      </c>
      <c r="AC29" s="120">
        <v>44648</v>
      </c>
      <c r="AD29" s="121">
        <v>901577873</v>
      </c>
      <c r="AE29" s="122" t="s">
        <v>1277</v>
      </c>
      <c r="AF29" s="126">
        <v>44659</v>
      </c>
      <c r="AG29" s="114">
        <v>45210</v>
      </c>
      <c r="AH29" s="21" t="s">
        <v>185</v>
      </c>
      <c r="AI29" s="21" t="s">
        <v>202</v>
      </c>
      <c r="AJ29" s="21"/>
      <c r="AK29" s="118">
        <v>21697632</v>
      </c>
      <c r="AL29" s="118">
        <f t="shared" si="2"/>
        <v>274959363</v>
      </c>
      <c r="AM29" s="123"/>
      <c r="AN29" s="123"/>
      <c r="AO29" s="123"/>
      <c r="AP29" s="123"/>
      <c r="AQ29" s="123"/>
      <c r="AR29" s="123"/>
      <c r="AS29" s="123"/>
      <c r="AT29" s="123"/>
      <c r="AU29" s="123"/>
      <c r="AV29" s="123">
        <v>0.1</v>
      </c>
      <c r="AW29" s="124">
        <f t="shared" si="3"/>
        <v>21697632</v>
      </c>
      <c r="AX29" s="124">
        <f>IF(AK29="","",ROUND(AL29/INT(LEFT(AH29,FIND("m",AH29)-1))*50%,2))</f>
        <v>19639954.5</v>
      </c>
      <c r="AY29" s="124">
        <f t="shared" si="5"/>
        <v>109983745.2</v>
      </c>
      <c r="AZ29" s="124">
        <f t="shared" si="6"/>
        <v>27495936.300000001</v>
      </c>
      <c r="BA29" s="21" t="s">
        <v>99</v>
      </c>
      <c r="BB29" s="21"/>
      <c r="BC29" s="21"/>
      <c r="BD29" s="21"/>
      <c r="BE29" s="21"/>
      <c r="BF29" s="21"/>
      <c r="BG29" s="21"/>
      <c r="BH29" s="21"/>
      <c r="BI29" s="21"/>
      <c r="BJ29" s="21"/>
    </row>
    <row r="30" spans="1:62" ht="14" x14ac:dyDescent="0.15">
      <c r="A30" s="17">
        <v>26</v>
      </c>
      <c r="B30" s="21" t="s">
        <v>226</v>
      </c>
      <c r="C30" s="15">
        <v>145981890</v>
      </c>
      <c r="D30" s="112">
        <v>44614</v>
      </c>
      <c r="E30" s="21" t="s">
        <v>61</v>
      </c>
      <c r="F30" s="15">
        <f t="shared" si="0"/>
        <v>145981890</v>
      </c>
      <c r="G30" s="21" t="s">
        <v>62</v>
      </c>
      <c r="H30" s="15">
        <f t="shared" si="1"/>
        <v>0</v>
      </c>
      <c r="I30" s="21" t="s">
        <v>227</v>
      </c>
      <c r="J30" s="21" t="s">
        <v>172</v>
      </c>
      <c r="K30" s="21" t="s">
        <v>228</v>
      </c>
      <c r="L30" s="112">
        <v>44613</v>
      </c>
      <c r="M30" s="127">
        <v>176921</v>
      </c>
      <c r="N30" s="114">
        <v>44477</v>
      </c>
      <c r="O30" s="115" t="s">
        <v>66</v>
      </c>
      <c r="P30" s="115" t="s">
        <v>767</v>
      </c>
      <c r="Q30" s="115" t="s">
        <v>112</v>
      </c>
      <c r="R30" s="116" t="s">
        <v>229</v>
      </c>
      <c r="S30" s="115" t="s">
        <v>69</v>
      </c>
      <c r="T30" s="117" t="s">
        <v>123</v>
      </c>
      <c r="U30" s="117" t="s">
        <v>124</v>
      </c>
      <c r="V30" s="118">
        <v>0</v>
      </c>
      <c r="W30" s="118">
        <f t="shared" si="4"/>
        <v>0</v>
      </c>
      <c r="X30" s="118" t="s">
        <v>125</v>
      </c>
      <c r="Y30" s="118"/>
      <c r="Z30" s="125" t="s">
        <v>126</v>
      </c>
      <c r="AA30" s="118"/>
      <c r="AB30" s="119" t="s">
        <v>127</v>
      </c>
      <c r="AC30" s="120"/>
      <c r="AD30" s="121"/>
      <c r="AE30" s="122" t="s">
        <v>1159</v>
      </c>
      <c r="AF30" s="126"/>
      <c r="AG30" s="114"/>
      <c r="AH30" s="21"/>
      <c r="AI30" s="21"/>
      <c r="AJ30" s="21"/>
      <c r="AK30" s="118"/>
      <c r="AL30" s="118" t="str">
        <f t="shared" si="2"/>
        <v/>
      </c>
      <c r="AM30" s="123"/>
      <c r="AN30" s="123"/>
      <c r="AO30" s="123"/>
      <c r="AP30" s="123"/>
      <c r="AQ30" s="123"/>
      <c r="AR30" s="123"/>
      <c r="AS30" s="123"/>
      <c r="AT30" s="123"/>
      <c r="AU30" s="123"/>
      <c r="AV30" s="123"/>
      <c r="AW30" s="124" t="str">
        <f t="shared" si="3"/>
        <v/>
      </c>
      <c r="AX30" s="124" t="str">
        <f t="shared" ref="AX30:AX38" si="7">IF(AK30="","",ROUND(AL30/INT(LEFT(AH30,FIND("m",AH30)-1))*50%,0))</f>
        <v/>
      </c>
      <c r="AY30" s="124" t="str">
        <f t="shared" si="5"/>
        <v/>
      </c>
      <c r="AZ30" s="124" t="str">
        <f t="shared" si="6"/>
        <v/>
      </c>
      <c r="BA30" s="21"/>
      <c r="BB30" s="21"/>
      <c r="BC30" s="21"/>
      <c r="BD30" s="21"/>
      <c r="BE30" s="21"/>
      <c r="BF30" s="21"/>
      <c r="BG30" s="21"/>
      <c r="BH30" s="21"/>
      <c r="BI30" s="21"/>
      <c r="BJ30" s="21"/>
    </row>
    <row r="31" spans="1:62" ht="14" x14ac:dyDescent="0.15">
      <c r="A31" s="17">
        <v>27</v>
      </c>
      <c r="B31" s="21" t="s">
        <v>230</v>
      </c>
      <c r="C31" s="15">
        <v>981547310</v>
      </c>
      <c r="D31" s="112">
        <v>44614</v>
      </c>
      <c r="E31" s="21" t="s">
        <v>61</v>
      </c>
      <c r="F31" s="15">
        <f t="shared" si="0"/>
        <v>981547310</v>
      </c>
      <c r="G31" s="21" t="s">
        <v>62</v>
      </c>
      <c r="H31" s="15">
        <f t="shared" si="1"/>
        <v>0</v>
      </c>
      <c r="I31" s="21" t="s">
        <v>231</v>
      </c>
      <c r="J31" s="21" t="s">
        <v>176</v>
      </c>
      <c r="K31" s="21" t="s">
        <v>228</v>
      </c>
      <c r="L31" s="112">
        <v>44613</v>
      </c>
      <c r="M31" s="21">
        <v>176921</v>
      </c>
      <c r="N31" s="114">
        <v>44477</v>
      </c>
      <c r="O31" s="115" t="s">
        <v>66</v>
      </c>
      <c r="P31" s="115" t="s">
        <v>767</v>
      </c>
      <c r="Q31" s="115" t="s">
        <v>112</v>
      </c>
      <c r="R31" s="116" t="s">
        <v>232</v>
      </c>
      <c r="S31" s="115" t="s">
        <v>69</v>
      </c>
      <c r="T31" s="117">
        <v>44645</v>
      </c>
      <c r="U31" s="117"/>
      <c r="V31" s="118">
        <v>920979080</v>
      </c>
      <c r="W31" s="118">
        <f t="shared" si="4"/>
        <v>920979080</v>
      </c>
      <c r="X31" s="118" t="s">
        <v>1154</v>
      </c>
      <c r="Y31" s="118"/>
      <c r="Z31" s="118" t="s">
        <v>79</v>
      </c>
      <c r="AA31" s="118"/>
      <c r="AB31" s="129" t="s">
        <v>233</v>
      </c>
      <c r="AC31" s="129">
        <v>44659</v>
      </c>
      <c r="AD31" s="121">
        <v>901580365</v>
      </c>
      <c r="AE31" s="122" t="s">
        <v>1278</v>
      </c>
      <c r="AF31" s="126">
        <v>44693</v>
      </c>
      <c r="AG31" s="114">
        <v>45328</v>
      </c>
      <c r="AH31" s="21" t="s">
        <v>106</v>
      </c>
      <c r="AI31" s="21" t="s">
        <v>234</v>
      </c>
      <c r="AJ31" s="21"/>
      <c r="AK31" s="118">
        <v>58229080</v>
      </c>
      <c r="AL31" s="118">
        <f t="shared" si="2"/>
        <v>862750000</v>
      </c>
      <c r="AM31" s="123"/>
      <c r="AN31" s="123"/>
      <c r="AO31" s="123"/>
      <c r="AP31" s="123"/>
      <c r="AQ31" s="123"/>
      <c r="AR31" s="123"/>
      <c r="AS31" s="123"/>
      <c r="AT31" s="123"/>
      <c r="AU31" s="123"/>
      <c r="AV31" s="123">
        <v>0.1</v>
      </c>
      <c r="AW31" s="124">
        <f t="shared" si="3"/>
        <v>58229080</v>
      </c>
      <c r="AX31" s="124">
        <f t="shared" si="7"/>
        <v>30812500</v>
      </c>
      <c r="AY31" s="124">
        <f t="shared" si="5"/>
        <v>345100000</v>
      </c>
      <c r="AZ31" s="124">
        <f t="shared" si="6"/>
        <v>86275000</v>
      </c>
      <c r="BA31" s="21" t="s">
        <v>99</v>
      </c>
      <c r="BB31" s="21"/>
      <c r="BC31" s="21"/>
      <c r="BD31" s="21"/>
      <c r="BE31" s="21"/>
      <c r="BF31" s="21"/>
      <c r="BG31" s="21"/>
      <c r="BH31" s="21"/>
      <c r="BI31" s="21"/>
      <c r="BJ31" s="21"/>
    </row>
    <row r="32" spans="1:62" ht="14" x14ac:dyDescent="0.15">
      <c r="A32" s="17">
        <v>28</v>
      </c>
      <c r="B32" s="21" t="s">
        <v>235</v>
      </c>
      <c r="C32" s="15">
        <v>509006350</v>
      </c>
      <c r="D32" s="112">
        <v>44614</v>
      </c>
      <c r="E32" s="21" t="s">
        <v>61</v>
      </c>
      <c r="F32" s="15">
        <f t="shared" si="0"/>
        <v>509006350</v>
      </c>
      <c r="G32" s="21" t="s">
        <v>62</v>
      </c>
      <c r="H32" s="15">
        <f t="shared" si="1"/>
        <v>0</v>
      </c>
      <c r="I32" s="21" t="s">
        <v>110</v>
      </c>
      <c r="J32" s="21" t="s">
        <v>102</v>
      </c>
      <c r="K32" s="21" t="s">
        <v>228</v>
      </c>
      <c r="L32" s="112">
        <v>44613</v>
      </c>
      <c r="M32" s="127">
        <v>176921</v>
      </c>
      <c r="N32" s="114">
        <v>44477</v>
      </c>
      <c r="O32" s="115" t="s">
        <v>66</v>
      </c>
      <c r="P32" s="115" t="s">
        <v>767</v>
      </c>
      <c r="Q32" s="115" t="s">
        <v>112</v>
      </c>
      <c r="R32" s="116" t="s">
        <v>236</v>
      </c>
      <c r="S32" s="115" t="s">
        <v>69</v>
      </c>
      <c r="T32" s="117">
        <v>44645</v>
      </c>
      <c r="U32" s="117"/>
      <c r="V32" s="118">
        <v>476940100</v>
      </c>
      <c r="W32" s="118">
        <f t="shared" si="4"/>
        <v>476940100</v>
      </c>
      <c r="X32" s="118" t="s">
        <v>1154</v>
      </c>
      <c r="Y32" s="118"/>
      <c r="Z32" s="118" t="s">
        <v>70</v>
      </c>
      <c r="AA32" s="118"/>
      <c r="AB32" s="119" t="s">
        <v>237</v>
      </c>
      <c r="AC32" s="120">
        <v>44651</v>
      </c>
      <c r="AD32" s="121">
        <v>901579530</v>
      </c>
      <c r="AE32" s="122" t="s">
        <v>1269</v>
      </c>
      <c r="AF32" s="126">
        <v>44676</v>
      </c>
      <c r="AG32" s="114">
        <v>45131</v>
      </c>
      <c r="AH32" s="126" t="s">
        <v>115</v>
      </c>
      <c r="AI32" s="21" t="s">
        <v>238</v>
      </c>
      <c r="AJ32" s="21"/>
      <c r="AK32" s="118">
        <v>25368420</v>
      </c>
      <c r="AL32" s="118">
        <f t="shared" si="2"/>
        <v>451571680</v>
      </c>
      <c r="AM32" s="123"/>
      <c r="AN32" s="123"/>
      <c r="AO32" s="123"/>
      <c r="AP32" s="123"/>
      <c r="AQ32" s="123"/>
      <c r="AR32" s="123"/>
      <c r="AS32" s="123"/>
      <c r="AT32" s="123"/>
      <c r="AU32" s="123"/>
      <c r="AV32" s="123">
        <v>0.1</v>
      </c>
      <c r="AW32" s="124">
        <f t="shared" si="3"/>
        <v>25368420</v>
      </c>
      <c r="AX32" s="124">
        <f t="shared" si="7"/>
        <v>25087316</v>
      </c>
      <c r="AY32" s="124">
        <f t="shared" si="5"/>
        <v>180628672</v>
      </c>
      <c r="AZ32" s="124">
        <f t="shared" si="6"/>
        <v>45157168</v>
      </c>
      <c r="BA32" s="21" t="s">
        <v>117</v>
      </c>
      <c r="BB32" s="21" t="s">
        <v>239</v>
      </c>
      <c r="BC32" s="21"/>
      <c r="BD32" s="21"/>
      <c r="BE32" s="21"/>
      <c r="BF32" s="21"/>
      <c r="BG32" s="21"/>
      <c r="BH32" s="21"/>
      <c r="BI32" s="21"/>
      <c r="BJ32" s="21"/>
    </row>
    <row r="33" spans="1:62" ht="14" x14ac:dyDescent="0.15">
      <c r="A33" s="17">
        <v>29</v>
      </c>
      <c r="B33" s="21" t="s">
        <v>240</v>
      </c>
      <c r="C33" s="15">
        <v>198740950</v>
      </c>
      <c r="D33" s="112">
        <v>44614</v>
      </c>
      <c r="E33" s="21" t="s">
        <v>61</v>
      </c>
      <c r="F33" s="15">
        <f t="shared" si="0"/>
        <v>198740950</v>
      </c>
      <c r="G33" s="21" t="s">
        <v>62</v>
      </c>
      <c r="H33" s="15">
        <f t="shared" si="1"/>
        <v>0</v>
      </c>
      <c r="I33" s="21" t="s">
        <v>241</v>
      </c>
      <c r="J33" s="21" t="s">
        <v>120</v>
      </c>
      <c r="K33" s="21" t="s">
        <v>228</v>
      </c>
      <c r="L33" s="112">
        <v>44613</v>
      </c>
      <c r="M33" s="127">
        <v>176921</v>
      </c>
      <c r="N33" s="114">
        <v>44477</v>
      </c>
      <c r="O33" s="115" t="s">
        <v>66</v>
      </c>
      <c r="P33" s="115" t="s">
        <v>767</v>
      </c>
      <c r="Q33" s="115" t="s">
        <v>112</v>
      </c>
      <c r="R33" s="116" t="s">
        <v>242</v>
      </c>
      <c r="S33" s="115" t="s">
        <v>69</v>
      </c>
      <c r="T33" s="117">
        <v>44638</v>
      </c>
      <c r="U33" s="117"/>
      <c r="V33" s="118">
        <v>186373276</v>
      </c>
      <c r="W33" s="118">
        <f t="shared" si="4"/>
        <v>186373276</v>
      </c>
      <c r="X33" s="118" t="s">
        <v>1154</v>
      </c>
      <c r="Y33" s="118"/>
      <c r="Z33" s="118" t="s">
        <v>79</v>
      </c>
      <c r="AA33" s="118">
        <v>0</v>
      </c>
      <c r="AB33" s="119" t="s">
        <v>243</v>
      </c>
      <c r="AC33" s="120">
        <v>44650</v>
      </c>
      <c r="AD33" s="121">
        <v>901578965</v>
      </c>
      <c r="AE33" s="122" t="s">
        <v>1265</v>
      </c>
      <c r="AF33" s="126">
        <v>44673</v>
      </c>
      <c r="AG33" s="114">
        <v>45079</v>
      </c>
      <c r="AH33" s="21" t="s">
        <v>81</v>
      </c>
      <c r="AI33" s="21" t="s">
        <v>244</v>
      </c>
      <c r="AJ33" s="21"/>
      <c r="AK33" s="118">
        <v>10057141</v>
      </c>
      <c r="AL33" s="118">
        <f t="shared" si="2"/>
        <v>176316135</v>
      </c>
      <c r="AM33" s="123"/>
      <c r="AN33" s="123"/>
      <c r="AO33" s="123"/>
      <c r="AP33" s="123"/>
      <c r="AQ33" s="123"/>
      <c r="AR33" s="123"/>
      <c r="AS33" s="123"/>
      <c r="AT33" s="123"/>
      <c r="AU33" s="123"/>
      <c r="AV33" s="123">
        <v>0.1</v>
      </c>
      <c r="AW33" s="124">
        <f t="shared" si="3"/>
        <v>10057141</v>
      </c>
      <c r="AX33" s="124">
        <f t="shared" si="7"/>
        <v>11019758</v>
      </c>
      <c r="AY33" s="124">
        <f t="shared" si="5"/>
        <v>70526454</v>
      </c>
      <c r="AZ33" s="124">
        <f t="shared" si="6"/>
        <v>17631613.5</v>
      </c>
      <c r="BA33" s="21" t="s">
        <v>245</v>
      </c>
      <c r="BB33" s="21"/>
      <c r="BC33" s="21"/>
      <c r="BD33" s="21"/>
      <c r="BE33" s="21"/>
      <c r="BF33" s="21"/>
      <c r="BG33" s="21"/>
      <c r="BH33" s="21"/>
      <c r="BI33" s="21"/>
      <c r="BJ33" s="21"/>
    </row>
    <row r="34" spans="1:62" ht="14" x14ac:dyDescent="0.15">
      <c r="A34" s="17">
        <v>30</v>
      </c>
      <c r="B34" s="21" t="s">
        <v>246</v>
      </c>
      <c r="C34" s="15">
        <v>158718280</v>
      </c>
      <c r="D34" s="112">
        <v>44614</v>
      </c>
      <c r="E34" s="21" t="s">
        <v>61</v>
      </c>
      <c r="F34" s="15">
        <f t="shared" si="0"/>
        <v>158718280</v>
      </c>
      <c r="G34" s="21" t="s">
        <v>62</v>
      </c>
      <c r="H34" s="15">
        <f t="shared" si="1"/>
        <v>0</v>
      </c>
      <c r="I34" s="21" t="s">
        <v>247</v>
      </c>
      <c r="J34" s="21" t="s">
        <v>120</v>
      </c>
      <c r="K34" s="21" t="s">
        <v>228</v>
      </c>
      <c r="L34" s="112">
        <v>44613</v>
      </c>
      <c r="M34" s="127">
        <v>176921</v>
      </c>
      <c r="N34" s="114">
        <v>44477</v>
      </c>
      <c r="O34" s="115" t="s">
        <v>66</v>
      </c>
      <c r="P34" s="115" t="s">
        <v>767</v>
      </c>
      <c r="Q34" s="115" t="s">
        <v>112</v>
      </c>
      <c r="R34" s="116" t="s">
        <v>248</v>
      </c>
      <c r="S34" s="115" t="s">
        <v>69</v>
      </c>
      <c r="T34" s="117">
        <v>44645</v>
      </c>
      <c r="U34" s="117"/>
      <c r="V34" s="118">
        <v>150199042</v>
      </c>
      <c r="W34" s="118">
        <f t="shared" si="4"/>
        <v>150199042</v>
      </c>
      <c r="X34" s="118" t="s">
        <v>1154</v>
      </c>
      <c r="Y34" s="118"/>
      <c r="Z34" s="118" t="s">
        <v>79</v>
      </c>
      <c r="AA34" s="118">
        <v>0</v>
      </c>
      <c r="AB34" s="119" t="s">
        <v>249</v>
      </c>
      <c r="AC34" s="120">
        <v>44650</v>
      </c>
      <c r="AD34" s="121">
        <v>901578965</v>
      </c>
      <c r="AE34" s="122" t="s">
        <v>1265</v>
      </c>
      <c r="AF34" s="128">
        <v>44673</v>
      </c>
      <c r="AG34" s="114">
        <v>45025</v>
      </c>
      <c r="AH34" s="21" t="s">
        <v>163</v>
      </c>
      <c r="AI34" s="21" t="s">
        <v>250</v>
      </c>
      <c r="AJ34" s="21"/>
      <c r="AK34" s="118">
        <v>11370064</v>
      </c>
      <c r="AL34" s="118">
        <f t="shared" si="2"/>
        <v>138828978</v>
      </c>
      <c r="AM34" s="123"/>
      <c r="AN34" s="123"/>
      <c r="AO34" s="123"/>
      <c r="AP34" s="123"/>
      <c r="AQ34" s="123"/>
      <c r="AR34" s="123"/>
      <c r="AS34" s="123"/>
      <c r="AT34" s="123"/>
      <c r="AU34" s="123"/>
      <c r="AV34" s="123">
        <v>0.1</v>
      </c>
      <c r="AW34" s="124">
        <f t="shared" si="3"/>
        <v>11370064</v>
      </c>
      <c r="AX34" s="124">
        <f t="shared" si="7"/>
        <v>11569082</v>
      </c>
      <c r="AY34" s="124">
        <f t="shared" si="5"/>
        <v>55531591.200000003</v>
      </c>
      <c r="AZ34" s="124">
        <f>IF(AK34="","",ROUND(AL34*10%,2))</f>
        <v>13882897.800000001</v>
      </c>
      <c r="BA34" s="21" t="s">
        <v>165</v>
      </c>
      <c r="BB34" s="21"/>
      <c r="BC34" s="21"/>
      <c r="BD34" s="21"/>
      <c r="BE34" s="21"/>
      <c r="BF34" s="21"/>
      <c r="BG34" s="21"/>
      <c r="BH34" s="21"/>
      <c r="BI34" s="21"/>
      <c r="BJ34" s="21"/>
    </row>
    <row r="35" spans="1:62" ht="14" x14ac:dyDescent="0.15">
      <c r="A35" s="17">
        <v>31</v>
      </c>
      <c r="B35" s="21" t="s">
        <v>251</v>
      </c>
      <c r="C35" s="15">
        <v>260999870</v>
      </c>
      <c r="D35" s="112">
        <v>44614</v>
      </c>
      <c r="E35" s="21" t="s">
        <v>61</v>
      </c>
      <c r="F35" s="15">
        <f t="shared" si="0"/>
        <v>260999870</v>
      </c>
      <c r="G35" s="21" t="s">
        <v>62</v>
      </c>
      <c r="H35" s="15">
        <f t="shared" si="1"/>
        <v>0</v>
      </c>
      <c r="I35" s="21" t="s">
        <v>252</v>
      </c>
      <c r="J35" s="21" t="s">
        <v>253</v>
      </c>
      <c r="K35" s="21" t="s">
        <v>228</v>
      </c>
      <c r="L35" s="112">
        <v>44613</v>
      </c>
      <c r="M35" s="127">
        <v>176921</v>
      </c>
      <c r="N35" s="114">
        <v>44477</v>
      </c>
      <c r="O35" s="115" t="s">
        <v>66</v>
      </c>
      <c r="P35" s="115" t="s">
        <v>767</v>
      </c>
      <c r="Q35" s="115" t="s">
        <v>112</v>
      </c>
      <c r="R35" s="116" t="s">
        <v>254</v>
      </c>
      <c r="S35" s="115" t="s">
        <v>69</v>
      </c>
      <c r="T35" s="117">
        <v>44644</v>
      </c>
      <c r="U35" s="117"/>
      <c r="V35" s="118">
        <v>245996800</v>
      </c>
      <c r="W35" s="118">
        <f t="shared" si="4"/>
        <v>245996800</v>
      </c>
      <c r="X35" s="118" t="s">
        <v>1154</v>
      </c>
      <c r="Y35" s="118"/>
      <c r="Z35" s="118" t="s">
        <v>70</v>
      </c>
      <c r="AA35" s="118"/>
      <c r="AB35" s="119" t="s">
        <v>255</v>
      </c>
      <c r="AC35" s="120">
        <v>44659</v>
      </c>
      <c r="AD35" s="121">
        <v>901580243</v>
      </c>
      <c r="AE35" s="122" t="s">
        <v>1279</v>
      </c>
      <c r="AF35" s="126">
        <v>44684</v>
      </c>
      <c r="AG35" s="114"/>
      <c r="AH35" s="21" t="s">
        <v>81</v>
      </c>
      <c r="AI35" s="21" t="s">
        <v>256</v>
      </c>
      <c r="AJ35" s="21"/>
      <c r="AK35" s="118">
        <v>18445000</v>
      </c>
      <c r="AL35" s="118">
        <f t="shared" si="2"/>
        <v>227551800</v>
      </c>
      <c r="AM35" s="123"/>
      <c r="AN35" s="123"/>
      <c r="AO35" s="123"/>
      <c r="AP35" s="123"/>
      <c r="AQ35" s="123"/>
      <c r="AR35" s="123"/>
      <c r="AS35" s="123"/>
      <c r="AT35" s="123"/>
      <c r="AU35" s="123"/>
      <c r="AV35" s="123">
        <v>0.1</v>
      </c>
      <c r="AW35" s="124">
        <f t="shared" si="3"/>
        <v>18445000</v>
      </c>
      <c r="AX35" s="124">
        <f t="shared" si="7"/>
        <v>14221988</v>
      </c>
      <c r="AY35" s="124">
        <f>IF(AK35="","",ROUND(AL35*40%,2))</f>
        <v>91020720</v>
      </c>
      <c r="AZ35" s="124">
        <f t="shared" si="6"/>
        <v>22755180</v>
      </c>
      <c r="BA35" s="21" t="s">
        <v>257</v>
      </c>
      <c r="BB35" s="21"/>
      <c r="BC35" s="21"/>
      <c r="BD35" s="21"/>
      <c r="BE35" s="21"/>
      <c r="BF35" s="21"/>
      <c r="BG35" s="21"/>
      <c r="BH35" s="21"/>
      <c r="BI35" s="21"/>
      <c r="BJ35" s="21"/>
    </row>
    <row r="36" spans="1:62" ht="14" x14ac:dyDescent="0.15">
      <c r="A36" s="17">
        <v>32</v>
      </c>
      <c r="B36" s="21" t="s">
        <v>258</v>
      </c>
      <c r="C36" s="15">
        <v>580264970</v>
      </c>
      <c r="D36" s="112">
        <v>44614</v>
      </c>
      <c r="E36" s="21" t="s">
        <v>61</v>
      </c>
      <c r="F36" s="15">
        <f t="shared" si="0"/>
        <v>580264970</v>
      </c>
      <c r="G36" s="21" t="s">
        <v>62</v>
      </c>
      <c r="H36" s="15">
        <f t="shared" si="1"/>
        <v>0</v>
      </c>
      <c r="I36" s="21" t="s">
        <v>259</v>
      </c>
      <c r="J36" s="21" t="s">
        <v>64</v>
      </c>
      <c r="K36" s="21" t="s">
        <v>228</v>
      </c>
      <c r="L36" s="112">
        <v>44613</v>
      </c>
      <c r="M36" s="113">
        <v>188421</v>
      </c>
      <c r="N36" s="114">
        <v>44550</v>
      </c>
      <c r="O36" s="115" t="s">
        <v>66</v>
      </c>
      <c r="P36" s="115" t="s">
        <v>767</v>
      </c>
      <c r="Q36" s="115" t="s">
        <v>112</v>
      </c>
      <c r="R36" s="116" t="s">
        <v>260</v>
      </c>
      <c r="S36" s="115" t="s">
        <v>69</v>
      </c>
      <c r="T36" s="117">
        <v>44645</v>
      </c>
      <c r="U36" s="117"/>
      <c r="V36" s="118">
        <v>545641925</v>
      </c>
      <c r="W36" s="118">
        <f t="shared" si="4"/>
        <v>545641925</v>
      </c>
      <c r="X36" s="118" t="s">
        <v>1352</v>
      </c>
      <c r="Y36" s="118"/>
      <c r="Z36" s="118" t="s">
        <v>70</v>
      </c>
      <c r="AA36" s="118"/>
      <c r="AB36" s="119" t="s">
        <v>261</v>
      </c>
      <c r="AC36" s="120">
        <v>44658</v>
      </c>
      <c r="AD36" s="121">
        <v>901581149</v>
      </c>
      <c r="AE36" s="122" t="s">
        <v>1280</v>
      </c>
      <c r="AF36" s="128">
        <v>44672</v>
      </c>
      <c r="AG36" s="114">
        <v>45395</v>
      </c>
      <c r="AH36" s="21" t="s">
        <v>262</v>
      </c>
      <c r="AI36" s="21" t="s">
        <v>263</v>
      </c>
      <c r="AJ36" s="21"/>
      <c r="AK36" s="118">
        <v>50325789</v>
      </c>
      <c r="AL36" s="118">
        <f t="shared" si="2"/>
        <v>495316136</v>
      </c>
      <c r="AM36" s="123"/>
      <c r="AN36" s="123"/>
      <c r="AO36" s="123"/>
      <c r="AP36" s="123"/>
      <c r="AQ36" s="123"/>
      <c r="AR36" s="123"/>
      <c r="AS36" s="123"/>
      <c r="AT36" s="123"/>
      <c r="AU36" s="123"/>
      <c r="AV36" s="123">
        <v>0.1</v>
      </c>
      <c r="AW36" s="124">
        <f t="shared" si="3"/>
        <v>50325789</v>
      </c>
      <c r="AX36" s="124">
        <f>IF(AK36="","",ROUND(AL36/INT(LEFT(AH36,FIND("m",AH36)-1))*50%,0))</f>
        <v>24765807</v>
      </c>
      <c r="AY36" s="124">
        <f t="shared" si="5"/>
        <v>198126454.40000001</v>
      </c>
      <c r="AZ36" s="124">
        <f t="shared" si="6"/>
        <v>49531613.600000001</v>
      </c>
      <c r="BA36" s="21"/>
      <c r="BB36" s="21"/>
      <c r="BC36" s="21"/>
      <c r="BD36" s="21"/>
      <c r="BE36" s="21"/>
      <c r="BF36" s="21"/>
      <c r="BG36" s="21"/>
      <c r="BH36" s="21"/>
      <c r="BI36" s="21"/>
      <c r="BJ36" s="21"/>
    </row>
    <row r="37" spans="1:62" ht="14" x14ac:dyDescent="0.15">
      <c r="A37" s="17">
        <v>33</v>
      </c>
      <c r="B37" s="21" t="s">
        <v>264</v>
      </c>
      <c r="C37" s="15">
        <v>280382060</v>
      </c>
      <c r="D37" s="112">
        <v>44614</v>
      </c>
      <c r="E37" s="21" t="s">
        <v>61</v>
      </c>
      <c r="F37" s="15">
        <f t="shared" si="0"/>
        <v>280382060</v>
      </c>
      <c r="G37" s="21" t="s">
        <v>62</v>
      </c>
      <c r="H37" s="15">
        <f t="shared" si="1"/>
        <v>0</v>
      </c>
      <c r="I37" s="21" t="s">
        <v>223</v>
      </c>
      <c r="J37" s="21" t="s">
        <v>223</v>
      </c>
      <c r="K37" s="21" t="s">
        <v>228</v>
      </c>
      <c r="L37" s="112">
        <v>44613</v>
      </c>
      <c r="M37" s="127">
        <v>176921</v>
      </c>
      <c r="N37" s="114">
        <v>44477</v>
      </c>
      <c r="O37" s="115" t="s">
        <v>66</v>
      </c>
      <c r="P37" s="115" t="s">
        <v>767</v>
      </c>
      <c r="Q37" s="115" t="s">
        <v>265</v>
      </c>
      <c r="R37" s="116" t="s">
        <v>266</v>
      </c>
      <c r="S37" s="115" t="s">
        <v>69</v>
      </c>
      <c r="T37" s="117">
        <v>44644</v>
      </c>
      <c r="U37" s="117" t="s">
        <v>124</v>
      </c>
      <c r="V37" s="118">
        <v>0</v>
      </c>
      <c r="W37" s="118">
        <v>266363650</v>
      </c>
      <c r="X37" s="118" t="s">
        <v>125</v>
      </c>
      <c r="Y37" s="118"/>
      <c r="Z37" s="125" t="s">
        <v>267</v>
      </c>
      <c r="AA37" s="118">
        <v>266363650</v>
      </c>
      <c r="AB37" s="119" t="s">
        <v>268</v>
      </c>
      <c r="AC37" s="120">
        <v>44651</v>
      </c>
      <c r="AD37" s="121">
        <v>901579530</v>
      </c>
      <c r="AE37" s="122" t="s">
        <v>1269</v>
      </c>
      <c r="AF37" s="126"/>
      <c r="AG37" s="114"/>
      <c r="AH37" s="21" t="s">
        <v>115</v>
      </c>
      <c r="AI37" s="21"/>
      <c r="AJ37" s="21" t="s">
        <v>269</v>
      </c>
      <c r="AK37" s="118">
        <v>20301400</v>
      </c>
      <c r="AL37" s="118">
        <f t="shared" si="2"/>
        <v>-20301400</v>
      </c>
      <c r="AM37" s="123"/>
      <c r="AN37" s="123"/>
      <c r="AO37" s="123"/>
      <c r="AP37" s="123"/>
      <c r="AQ37" s="123"/>
      <c r="AR37" s="123"/>
      <c r="AS37" s="123"/>
      <c r="AT37" s="123"/>
      <c r="AU37" s="123"/>
      <c r="AV37" s="123">
        <v>0.1</v>
      </c>
      <c r="AW37" s="124">
        <f t="shared" si="3"/>
        <v>20301400</v>
      </c>
      <c r="AX37" s="124">
        <f t="shared" si="7"/>
        <v>-1127856</v>
      </c>
      <c r="AY37" s="124">
        <f t="shared" si="5"/>
        <v>-8120560</v>
      </c>
      <c r="AZ37" s="124">
        <f t="shared" si="6"/>
        <v>-2030140</v>
      </c>
      <c r="BA37" s="21"/>
      <c r="BB37" s="21"/>
      <c r="BC37" s="21"/>
      <c r="BD37" s="21"/>
      <c r="BE37" s="21"/>
      <c r="BF37" s="21"/>
      <c r="BG37" s="21"/>
      <c r="BH37" s="21"/>
      <c r="BI37" s="21"/>
      <c r="BJ37" s="21"/>
    </row>
    <row r="38" spans="1:62" ht="14" x14ac:dyDescent="0.15">
      <c r="A38" s="17">
        <v>34</v>
      </c>
      <c r="B38" s="21" t="s">
        <v>270</v>
      </c>
      <c r="C38" s="15">
        <v>183004370</v>
      </c>
      <c r="D38" s="112">
        <v>44621</v>
      </c>
      <c r="E38" s="21" t="s">
        <v>61</v>
      </c>
      <c r="F38" s="15">
        <f t="shared" si="0"/>
        <v>183004370</v>
      </c>
      <c r="G38" s="21" t="s">
        <v>62</v>
      </c>
      <c r="H38" s="15">
        <f t="shared" si="1"/>
        <v>0</v>
      </c>
      <c r="I38" s="21" t="s">
        <v>271</v>
      </c>
      <c r="J38" s="21" t="s">
        <v>64</v>
      </c>
      <c r="K38" s="21" t="s">
        <v>272</v>
      </c>
      <c r="L38" s="112">
        <v>44614</v>
      </c>
      <c r="M38" s="127">
        <v>176921</v>
      </c>
      <c r="N38" s="114">
        <v>44477</v>
      </c>
      <c r="O38" s="115" t="s">
        <v>66</v>
      </c>
      <c r="P38" s="115" t="s">
        <v>767</v>
      </c>
      <c r="Q38" s="115" t="s">
        <v>112</v>
      </c>
      <c r="R38" s="116" t="s">
        <v>273</v>
      </c>
      <c r="S38" s="115" t="s">
        <v>69</v>
      </c>
      <c r="T38" s="117">
        <v>44648</v>
      </c>
      <c r="U38" s="117"/>
      <c r="V38" s="118">
        <v>178429261</v>
      </c>
      <c r="W38" s="118">
        <f t="shared" si="4"/>
        <v>178429261</v>
      </c>
      <c r="X38" s="118" t="s">
        <v>1154</v>
      </c>
      <c r="Y38" s="118"/>
      <c r="Z38" s="118" t="s">
        <v>70</v>
      </c>
      <c r="AA38" s="118"/>
      <c r="AB38" s="119" t="s">
        <v>274</v>
      </c>
      <c r="AC38" s="120">
        <v>44690</v>
      </c>
      <c r="AD38" s="121">
        <v>901587489</v>
      </c>
      <c r="AE38" s="122" t="s">
        <v>1281</v>
      </c>
      <c r="AF38" s="126">
        <v>44705</v>
      </c>
      <c r="AG38" s="114">
        <v>45440</v>
      </c>
      <c r="AH38" s="21" t="s">
        <v>81</v>
      </c>
      <c r="AI38" s="21" t="s">
        <v>275</v>
      </c>
      <c r="AJ38" s="21"/>
      <c r="AK38" s="118">
        <v>11310049</v>
      </c>
      <c r="AL38" s="118">
        <f t="shared" si="2"/>
        <v>167119212</v>
      </c>
      <c r="AM38" s="123"/>
      <c r="AN38" s="123"/>
      <c r="AO38" s="123"/>
      <c r="AP38" s="123"/>
      <c r="AQ38" s="123"/>
      <c r="AR38" s="123"/>
      <c r="AS38" s="123"/>
      <c r="AT38" s="123"/>
      <c r="AU38" s="123"/>
      <c r="AV38" s="123">
        <v>0.1</v>
      </c>
      <c r="AW38" s="124">
        <f t="shared" si="3"/>
        <v>11310049</v>
      </c>
      <c r="AX38" s="124">
        <f t="shared" si="7"/>
        <v>10444951</v>
      </c>
      <c r="AY38" s="124">
        <f t="shared" si="5"/>
        <v>66847684.799999997</v>
      </c>
      <c r="AZ38" s="124">
        <f t="shared" si="6"/>
        <v>16711921.199999999</v>
      </c>
      <c r="BA38" s="21" t="s">
        <v>74</v>
      </c>
      <c r="BB38" s="21"/>
      <c r="BC38" s="21"/>
      <c r="BD38" s="21"/>
      <c r="BE38" s="21"/>
      <c r="BF38" s="21"/>
      <c r="BG38" s="21"/>
      <c r="BH38" s="21"/>
      <c r="BI38" s="21"/>
      <c r="BJ38" s="21"/>
    </row>
    <row r="39" spans="1:62" ht="14" x14ac:dyDescent="0.15">
      <c r="A39" s="17">
        <v>35</v>
      </c>
      <c r="B39" s="21" t="s">
        <v>276</v>
      </c>
      <c r="C39" s="15">
        <v>310151810</v>
      </c>
      <c r="D39" s="112">
        <v>44621</v>
      </c>
      <c r="E39" s="21" t="s">
        <v>61</v>
      </c>
      <c r="F39" s="15">
        <f t="shared" si="0"/>
        <v>310151810</v>
      </c>
      <c r="G39" s="21" t="s">
        <v>62</v>
      </c>
      <c r="H39" s="15">
        <f t="shared" si="1"/>
        <v>0</v>
      </c>
      <c r="I39" s="21" t="s">
        <v>176</v>
      </c>
      <c r="J39" s="21" t="s">
        <v>130</v>
      </c>
      <c r="K39" s="21" t="s">
        <v>277</v>
      </c>
      <c r="L39" s="112">
        <v>44616</v>
      </c>
      <c r="M39" s="127">
        <v>176921</v>
      </c>
      <c r="N39" s="114">
        <v>44477</v>
      </c>
      <c r="O39" s="115" t="s">
        <v>66</v>
      </c>
      <c r="P39" s="115" t="s">
        <v>767</v>
      </c>
      <c r="Q39" s="115" t="s">
        <v>112</v>
      </c>
      <c r="R39" s="116" t="s">
        <v>278</v>
      </c>
      <c r="S39" s="115" t="s">
        <v>69</v>
      </c>
      <c r="T39" s="117">
        <v>44650</v>
      </c>
      <c r="U39" s="117"/>
      <c r="V39" s="118">
        <v>289585645</v>
      </c>
      <c r="W39" s="118">
        <f t="shared" si="4"/>
        <v>289585645</v>
      </c>
      <c r="X39" s="118" t="s">
        <v>1154</v>
      </c>
      <c r="Y39" s="118"/>
      <c r="Z39" s="118" t="s">
        <v>79</v>
      </c>
      <c r="AA39" s="118">
        <v>0</v>
      </c>
      <c r="AB39" s="119" t="s">
        <v>279</v>
      </c>
      <c r="AC39" s="120">
        <v>44658</v>
      </c>
      <c r="AD39" s="121">
        <v>8746699</v>
      </c>
      <c r="AE39" s="122" t="s">
        <v>1282</v>
      </c>
      <c r="AF39" s="126">
        <v>44707</v>
      </c>
      <c r="AG39" s="114">
        <v>45024</v>
      </c>
      <c r="AH39" s="21" t="s">
        <v>81</v>
      </c>
      <c r="AI39" s="21" t="s">
        <v>280</v>
      </c>
      <c r="AJ39" s="21"/>
      <c r="AK39" s="118">
        <v>17432264</v>
      </c>
      <c r="AL39" s="130">
        <f t="shared" si="2"/>
        <v>272153381</v>
      </c>
      <c r="AM39" s="123"/>
      <c r="AN39" s="123"/>
      <c r="AO39" s="123"/>
      <c r="AP39" s="123"/>
      <c r="AQ39" s="123"/>
      <c r="AR39" s="123"/>
      <c r="AS39" s="123"/>
      <c r="AT39" s="123"/>
      <c r="AU39" s="123"/>
      <c r="AV39" s="123">
        <v>0.1</v>
      </c>
      <c r="AW39" s="124">
        <f t="shared" si="3"/>
        <v>17432264</v>
      </c>
      <c r="AX39" s="124">
        <f>IF(AK39="","",ROUND(AL39/8*50%,0))</f>
        <v>17009586</v>
      </c>
      <c r="AY39" s="124">
        <f t="shared" si="5"/>
        <v>108861352.40000001</v>
      </c>
      <c r="AZ39" s="124">
        <f t="shared" si="6"/>
        <v>27215338.100000001</v>
      </c>
      <c r="BA39" s="21" t="s">
        <v>117</v>
      </c>
      <c r="BB39" s="21"/>
      <c r="BC39" s="21"/>
      <c r="BD39" s="21"/>
      <c r="BE39" s="21"/>
      <c r="BF39" s="21"/>
      <c r="BG39" s="21"/>
      <c r="BH39" s="21"/>
      <c r="BI39" s="21"/>
      <c r="BJ39" s="21"/>
    </row>
    <row r="40" spans="1:62" ht="14" x14ac:dyDescent="0.15">
      <c r="A40" s="17">
        <v>36</v>
      </c>
      <c r="B40" s="21" t="s">
        <v>281</v>
      </c>
      <c r="C40" s="15">
        <v>209298430</v>
      </c>
      <c r="D40" s="112">
        <v>44621</v>
      </c>
      <c r="E40" s="21" t="s">
        <v>61</v>
      </c>
      <c r="F40" s="15">
        <f t="shared" si="0"/>
        <v>209298430</v>
      </c>
      <c r="G40" s="21" t="s">
        <v>62</v>
      </c>
      <c r="H40" s="15">
        <f t="shared" si="1"/>
        <v>0</v>
      </c>
      <c r="I40" s="21" t="s">
        <v>282</v>
      </c>
      <c r="J40" s="21" t="s">
        <v>283</v>
      </c>
      <c r="K40" s="21" t="s">
        <v>284</v>
      </c>
      <c r="L40" s="112">
        <v>44615</v>
      </c>
      <c r="M40" s="127">
        <v>176921</v>
      </c>
      <c r="N40" s="114">
        <v>44477</v>
      </c>
      <c r="O40" s="115" t="s">
        <v>66</v>
      </c>
      <c r="P40" s="115" t="s">
        <v>767</v>
      </c>
      <c r="Q40" s="115" t="s">
        <v>112</v>
      </c>
      <c r="R40" s="116" t="s">
        <v>285</v>
      </c>
      <c r="S40" s="115" t="s">
        <v>69</v>
      </c>
      <c r="T40" s="117">
        <v>44644</v>
      </c>
      <c r="U40" s="117"/>
      <c r="V40" s="118">
        <v>204287776</v>
      </c>
      <c r="W40" s="118">
        <f t="shared" si="4"/>
        <v>204287776</v>
      </c>
      <c r="X40" s="118" t="s">
        <v>1154</v>
      </c>
      <c r="Y40" s="118"/>
      <c r="Z40" s="118" t="s">
        <v>70</v>
      </c>
      <c r="AA40" s="118"/>
      <c r="AB40" s="119" t="s">
        <v>286</v>
      </c>
      <c r="AC40" s="120">
        <v>44662</v>
      </c>
      <c r="AD40" s="121">
        <v>901580266</v>
      </c>
      <c r="AE40" s="122" t="s">
        <v>1283</v>
      </c>
      <c r="AF40" s="128">
        <v>44676</v>
      </c>
      <c r="AG40" s="114"/>
      <c r="AH40" s="21" t="s">
        <v>115</v>
      </c>
      <c r="AI40" s="21" t="s">
        <v>287</v>
      </c>
      <c r="AJ40" s="21"/>
      <c r="AK40" s="118">
        <v>12804638</v>
      </c>
      <c r="AL40" s="118">
        <f t="shared" si="2"/>
        <v>191483138</v>
      </c>
      <c r="AM40" s="123"/>
      <c r="AN40" s="123"/>
      <c r="AO40" s="123"/>
      <c r="AP40" s="123"/>
      <c r="AQ40" s="123"/>
      <c r="AR40" s="123"/>
      <c r="AS40" s="123"/>
      <c r="AT40" s="123"/>
      <c r="AU40" s="123"/>
      <c r="AV40" s="123">
        <v>0.1</v>
      </c>
      <c r="AW40" s="124">
        <f t="shared" si="3"/>
        <v>12804638</v>
      </c>
      <c r="AX40" s="124">
        <f>IF(AK40="","",ROUND(AL40/INT(LEFT(AH40,FIND("m",AH40)-1))*50%,0))</f>
        <v>10637952</v>
      </c>
      <c r="AY40" s="124">
        <f t="shared" si="5"/>
        <v>76593255.200000003</v>
      </c>
      <c r="AZ40" s="124">
        <f t="shared" si="6"/>
        <v>19148313.800000001</v>
      </c>
      <c r="BA40" s="21" t="s">
        <v>74</v>
      </c>
      <c r="BB40" s="21"/>
      <c r="BC40" s="21"/>
      <c r="BD40" s="21"/>
      <c r="BE40" s="21"/>
      <c r="BF40" s="21"/>
      <c r="BG40" s="21"/>
      <c r="BH40" s="21"/>
      <c r="BI40" s="21"/>
      <c r="BJ40" s="21"/>
    </row>
    <row r="41" spans="1:62" ht="14" x14ac:dyDescent="0.15">
      <c r="A41" s="17">
        <v>37</v>
      </c>
      <c r="B41" s="21" t="s">
        <v>288</v>
      </c>
      <c r="C41" s="15">
        <v>207120440</v>
      </c>
      <c r="D41" s="112">
        <v>44621</v>
      </c>
      <c r="E41" s="21" t="s">
        <v>61</v>
      </c>
      <c r="F41" s="15">
        <f t="shared" si="0"/>
        <v>207120440</v>
      </c>
      <c r="G41" s="21" t="s">
        <v>62</v>
      </c>
      <c r="H41" s="15">
        <f t="shared" si="1"/>
        <v>0</v>
      </c>
      <c r="I41" s="21" t="s">
        <v>289</v>
      </c>
      <c r="J41" s="21" t="s">
        <v>64</v>
      </c>
      <c r="K41" s="21" t="s">
        <v>284</v>
      </c>
      <c r="L41" s="112">
        <v>44615</v>
      </c>
      <c r="M41" s="127">
        <v>176921</v>
      </c>
      <c r="N41" s="114">
        <v>44477</v>
      </c>
      <c r="O41" s="115" t="s">
        <v>66</v>
      </c>
      <c r="P41" s="115" t="s">
        <v>767</v>
      </c>
      <c r="Q41" s="115" t="s">
        <v>112</v>
      </c>
      <c r="R41" s="116" t="s">
        <v>290</v>
      </c>
      <c r="S41" s="115" t="s">
        <v>69</v>
      </c>
      <c r="T41" s="117">
        <v>44761</v>
      </c>
      <c r="U41" s="117"/>
      <c r="V41" s="118">
        <v>195935935</v>
      </c>
      <c r="W41" s="118">
        <f t="shared" si="4"/>
        <v>195935935</v>
      </c>
      <c r="X41" s="118" t="s">
        <v>1154</v>
      </c>
      <c r="Y41" s="118"/>
      <c r="Z41" s="118" t="s">
        <v>70</v>
      </c>
      <c r="AA41" s="118"/>
      <c r="AB41" s="119" t="s">
        <v>291</v>
      </c>
      <c r="AC41" s="120">
        <v>44774</v>
      </c>
      <c r="AD41" s="121">
        <v>811036279</v>
      </c>
      <c r="AE41" s="122" t="s">
        <v>1284</v>
      </c>
      <c r="AF41" s="120">
        <v>44796</v>
      </c>
      <c r="AG41" s="114">
        <v>45265</v>
      </c>
      <c r="AH41" s="21" t="s">
        <v>163</v>
      </c>
      <c r="AI41" s="21" t="s">
        <v>292</v>
      </c>
      <c r="AJ41" s="21"/>
      <c r="AK41" s="118">
        <v>9598257</v>
      </c>
      <c r="AL41" s="118">
        <f t="shared" si="2"/>
        <v>186337678</v>
      </c>
      <c r="AM41" s="123"/>
      <c r="AN41" s="123"/>
      <c r="AO41" s="123"/>
      <c r="AP41" s="123"/>
      <c r="AQ41" s="123"/>
      <c r="AR41" s="123"/>
      <c r="AS41" s="123"/>
      <c r="AT41" s="123"/>
      <c r="AU41" s="123"/>
      <c r="AV41" s="123">
        <v>0.1</v>
      </c>
      <c r="AW41" s="124">
        <f t="shared" si="3"/>
        <v>9598257</v>
      </c>
      <c r="AX41" s="124">
        <f>IF(AK41="","",ROUND(AL41/INT(LEFT(AH41,FIND("m",AH41)-1))*50%,2))</f>
        <v>15528139.83</v>
      </c>
      <c r="AY41" s="124">
        <f t="shared" si="5"/>
        <v>74535071.200000003</v>
      </c>
      <c r="AZ41" s="124">
        <f t="shared" si="6"/>
        <v>18633767.800000001</v>
      </c>
      <c r="BA41" s="21"/>
      <c r="BB41" s="21"/>
      <c r="BC41" s="21"/>
      <c r="BD41" s="21"/>
      <c r="BE41" s="21"/>
      <c r="BF41" s="21"/>
      <c r="BG41" s="21"/>
      <c r="BH41" s="21"/>
      <c r="BI41" s="21"/>
      <c r="BJ41" s="21"/>
    </row>
    <row r="42" spans="1:62" ht="14" x14ac:dyDescent="0.15">
      <c r="A42" s="17">
        <v>38</v>
      </c>
      <c r="B42" s="21" t="s">
        <v>293</v>
      </c>
      <c r="C42" s="15">
        <v>672942360</v>
      </c>
      <c r="D42" s="112">
        <v>44621</v>
      </c>
      <c r="E42" s="21" t="s">
        <v>61</v>
      </c>
      <c r="F42" s="15">
        <f t="shared" si="0"/>
        <v>672942360</v>
      </c>
      <c r="G42" s="21" t="s">
        <v>62</v>
      </c>
      <c r="H42" s="15">
        <f t="shared" si="1"/>
        <v>0</v>
      </c>
      <c r="I42" s="21" t="s">
        <v>294</v>
      </c>
      <c r="J42" s="21" t="s">
        <v>295</v>
      </c>
      <c r="K42" s="21" t="s">
        <v>284</v>
      </c>
      <c r="L42" s="112">
        <v>44615</v>
      </c>
      <c r="M42" s="131">
        <v>187921</v>
      </c>
      <c r="N42" s="114">
        <v>44550</v>
      </c>
      <c r="O42" s="115" t="s">
        <v>66</v>
      </c>
      <c r="P42" s="115" t="s">
        <v>767</v>
      </c>
      <c r="Q42" s="115" t="s">
        <v>112</v>
      </c>
      <c r="R42" s="116" t="s">
        <v>296</v>
      </c>
      <c r="S42" s="115" t="s">
        <v>69</v>
      </c>
      <c r="T42" s="117">
        <v>44648</v>
      </c>
      <c r="U42" s="117"/>
      <c r="V42" s="118">
        <v>633353161</v>
      </c>
      <c r="W42" s="118">
        <f t="shared" si="4"/>
        <v>633353161</v>
      </c>
      <c r="X42" s="118" t="s">
        <v>1154</v>
      </c>
      <c r="Y42" s="118"/>
      <c r="Z42" s="118" t="s">
        <v>70</v>
      </c>
      <c r="AA42" s="118"/>
      <c r="AB42" s="119" t="s">
        <v>297</v>
      </c>
      <c r="AC42" s="120">
        <v>44683</v>
      </c>
      <c r="AD42" s="121">
        <v>901580570</v>
      </c>
      <c r="AE42" s="122" t="s">
        <v>1285</v>
      </c>
      <c r="AF42" s="126">
        <v>44713</v>
      </c>
      <c r="AG42" s="114">
        <v>45406</v>
      </c>
      <c r="AH42" s="21" t="s">
        <v>298</v>
      </c>
      <c r="AI42" s="21"/>
      <c r="AJ42" s="21"/>
      <c r="AK42" s="118">
        <v>53372452</v>
      </c>
      <c r="AL42" s="118">
        <f t="shared" si="2"/>
        <v>579980709</v>
      </c>
      <c r="AM42" s="123"/>
      <c r="AN42" s="123"/>
      <c r="AO42" s="123"/>
      <c r="AP42" s="123"/>
      <c r="AQ42" s="123"/>
      <c r="AR42" s="123"/>
      <c r="AS42" s="123"/>
      <c r="AT42" s="123"/>
      <c r="AU42" s="123"/>
      <c r="AV42" s="123">
        <v>0.1</v>
      </c>
      <c r="AW42" s="124">
        <f t="shared" si="3"/>
        <v>53372452</v>
      </c>
      <c r="AX42" s="124">
        <f>IF(AK42="","",ROUND(AL42/INT(LEFT(AH42,FIND("m",AH42)-1))*50%,0))</f>
        <v>26362760</v>
      </c>
      <c r="AY42" s="124">
        <f t="shared" si="5"/>
        <v>231992283.59999999</v>
      </c>
      <c r="AZ42" s="124">
        <f t="shared" si="6"/>
        <v>57998070.899999999</v>
      </c>
      <c r="BA42" s="21" t="s">
        <v>299</v>
      </c>
      <c r="BB42" s="21"/>
      <c r="BC42" s="21"/>
      <c r="BD42" s="21"/>
      <c r="BE42" s="21"/>
      <c r="BF42" s="21"/>
      <c r="BG42" s="21"/>
      <c r="BH42" s="21"/>
      <c r="BI42" s="21"/>
      <c r="BJ42" s="21"/>
    </row>
    <row r="43" spans="1:62" ht="14" x14ac:dyDescent="0.15">
      <c r="A43" s="17">
        <v>39</v>
      </c>
      <c r="B43" s="21" t="s">
        <v>300</v>
      </c>
      <c r="C43" s="15">
        <v>356086890</v>
      </c>
      <c r="D43" s="112">
        <v>44621</v>
      </c>
      <c r="E43" s="21" t="s">
        <v>61</v>
      </c>
      <c r="F43" s="15">
        <f t="shared" si="0"/>
        <v>356086890</v>
      </c>
      <c r="G43" s="21" t="s">
        <v>62</v>
      </c>
      <c r="H43" s="15">
        <f t="shared" si="1"/>
        <v>0</v>
      </c>
      <c r="I43" s="21" t="s">
        <v>301</v>
      </c>
      <c r="J43" s="21" t="s">
        <v>130</v>
      </c>
      <c r="K43" s="21" t="s">
        <v>284</v>
      </c>
      <c r="L43" s="112">
        <v>44615</v>
      </c>
      <c r="M43" s="127">
        <v>176921</v>
      </c>
      <c r="N43" s="114">
        <v>44477</v>
      </c>
      <c r="O43" s="115" t="s">
        <v>66</v>
      </c>
      <c r="P43" s="115" t="s">
        <v>767</v>
      </c>
      <c r="Q43" s="115" t="s">
        <v>112</v>
      </c>
      <c r="R43" s="116" t="s">
        <v>302</v>
      </c>
      <c r="S43" s="115" t="s">
        <v>69</v>
      </c>
      <c r="T43" s="117">
        <v>44648</v>
      </c>
      <c r="U43" s="117"/>
      <c r="V43" s="118">
        <v>333072148</v>
      </c>
      <c r="W43" s="118">
        <f t="shared" si="4"/>
        <v>333072148</v>
      </c>
      <c r="X43" s="118" t="s">
        <v>1154</v>
      </c>
      <c r="Y43" s="118"/>
      <c r="Z43" s="118" t="s">
        <v>70</v>
      </c>
      <c r="AA43" s="118"/>
      <c r="AB43" s="119" t="s">
        <v>303</v>
      </c>
      <c r="AC43" s="120">
        <v>44672</v>
      </c>
      <c r="AD43" s="121">
        <v>901581425</v>
      </c>
      <c r="AE43" s="122" t="s">
        <v>1286</v>
      </c>
      <c r="AF43" s="126">
        <v>44715</v>
      </c>
      <c r="AG43" s="114">
        <v>44974</v>
      </c>
      <c r="AH43" s="21" t="s">
        <v>81</v>
      </c>
      <c r="AI43" s="21" t="s">
        <v>116</v>
      </c>
      <c r="AJ43" s="21"/>
      <c r="AK43" s="118">
        <v>20530596</v>
      </c>
      <c r="AL43" s="118">
        <f t="shared" si="2"/>
        <v>312541552</v>
      </c>
      <c r="AM43" s="123"/>
      <c r="AN43" s="123"/>
      <c r="AO43" s="123"/>
      <c r="AP43" s="123"/>
      <c r="AQ43" s="123"/>
      <c r="AR43" s="123"/>
      <c r="AS43" s="123"/>
      <c r="AT43" s="123"/>
      <c r="AU43" s="123"/>
      <c r="AV43" s="123">
        <v>0.1</v>
      </c>
      <c r="AW43" s="124">
        <f t="shared" si="3"/>
        <v>20530596</v>
      </c>
      <c r="AX43" s="124">
        <f>IF(AK43="","",ROUND(AL43/INT(LEFT(AH43,FIND("m",AH43)-1))*50%,0))</f>
        <v>19533847</v>
      </c>
      <c r="AY43" s="124">
        <f t="shared" si="5"/>
        <v>125016620.8</v>
      </c>
      <c r="AZ43" s="124">
        <f t="shared" si="6"/>
        <v>31254155.199999999</v>
      </c>
      <c r="BA43" s="21" t="s">
        <v>117</v>
      </c>
      <c r="BB43" s="21"/>
      <c r="BC43" s="21"/>
      <c r="BD43" s="21"/>
      <c r="BE43" s="21"/>
      <c r="BF43" s="21"/>
      <c r="BG43" s="21"/>
      <c r="BH43" s="21"/>
      <c r="BI43" s="21"/>
      <c r="BJ43" s="21"/>
    </row>
    <row r="44" spans="1:62" ht="14" x14ac:dyDescent="0.15">
      <c r="A44" s="17">
        <v>40</v>
      </c>
      <c r="B44" s="21" t="s">
        <v>304</v>
      </c>
      <c r="C44" s="15">
        <v>314391420</v>
      </c>
      <c r="D44" s="112">
        <v>44621</v>
      </c>
      <c r="E44" s="21" t="s">
        <v>61</v>
      </c>
      <c r="F44" s="15">
        <f t="shared" si="0"/>
        <v>314391420</v>
      </c>
      <c r="G44" s="21" t="s">
        <v>62</v>
      </c>
      <c r="H44" s="15">
        <f t="shared" si="1"/>
        <v>0</v>
      </c>
      <c r="I44" s="21" t="s">
        <v>305</v>
      </c>
      <c r="J44" s="21" t="s">
        <v>64</v>
      </c>
      <c r="K44" s="21" t="s">
        <v>284</v>
      </c>
      <c r="L44" s="112">
        <v>44615</v>
      </c>
      <c r="M44" s="127">
        <v>176921</v>
      </c>
      <c r="N44" s="114">
        <v>44477</v>
      </c>
      <c r="O44" s="115" t="s">
        <v>66</v>
      </c>
      <c r="P44" s="115" t="s">
        <v>767</v>
      </c>
      <c r="Q44" s="115" t="s">
        <v>112</v>
      </c>
      <c r="R44" s="116" t="s">
        <v>306</v>
      </c>
      <c r="S44" s="115" t="s">
        <v>69</v>
      </c>
      <c r="T44" s="117">
        <v>44648</v>
      </c>
      <c r="U44" s="117"/>
      <c r="V44" s="118">
        <v>294144612</v>
      </c>
      <c r="W44" s="118">
        <f t="shared" si="4"/>
        <v>294144612</v>
      </c>
      <c r="X44" s="118" t="s">
        <v>1154</v>
      </c>
      <c r="Y44" s="118"/>
      <c r="Z44" s="125" t="s">
        <v>104</v>
      </c>
      <c r="AA44" s="118"/>
      <c r="AB44" s="119" t="s">
        <v>307</v>
      </c>
      <c r="AC44" s="120">
        <v>44650</v>
      </c>
      <c r="AD44" s="121">
        <v>890115120</v>
      </c>
      <c r="AE44" s="122" t="s">
        <v>1271</v>
      </c>
      <c r="AF44" s="126">
        <v>44659</v>
      </c>
      <c r="AG44" s="114"/>
      <c r="AH44" s="21" t="s">
        <v>81</v>
      </c>
      <c r="AI44" s="21" t="s">
        <v>308</v>
      </c>
      <c r="AJ44" s="126">
        <v>44715</v>
      </c>
      <c r="AK44" s="118">
        <v>18438542</v>
      </c>
      <c r="AL44" s="118">
        <f t="shared" si="2"/>
        <v>275706070</v>
      </c>
      <c r="AM44" s="123"/>
      <c r="AN44" s="123"/>
      <c r="AO44" s="123"/>
      <c r="AP44" s="123"/>
      <c r="AQ44" s="123"/>
      <c r="AR44" s="123"/>
      <c r="AS44" s="123"/>
      <c r="AT44" s="123"/>
      <c r="AU44" s="123"/>
      <c r="AV44" s="123">
        <v>0.1</v>
      </c>
      <c r="AW44" s="124">
        <f t="shared" si="3"/>
        <v>18438542</v>
      </c>
      <c r="AX44" s="124">
        <f>IF(AK44="","",ROUND(AL44/INT(LEFT(AH44,FIND("m",AH44)-1))*50%,0))</f>
        <v>17231629</v>
      </c>
      <c r="AY44" s="124">
        <f t="shared" si="5"/>
        <v>110282428</v>
      </c>
      <c r="AZ44" s="124">
        <f t="shared" si="6"/>
        <v>27570607</v>
      </c>
      <c r="BA44" s="21" t="s">
        <v>74</v>
      </c>
      <c r="BB44" s="21"/>
      <c r="BC44" s="21"/>
      <c r="BD44" s="21"/>
      <c r="BE44" s="21"/>
      <c r="BF44" s="21"/>
      <c r="BG44" s="21"/>
      <c r="BH44" s="21"/>
      <c r="BI44" s="21"/>
      <c r="BJ44" s="21"/>
    </row>
    <row r="45" spans="1:62" ht="14" x14ac:dyDescent="0.15">
      <c r="A45" s="17">
        <v>41</v>
      </c>
      <c r="B45" s="21" t="s">
        <v>309</v>
      </c>
      <c r="C45" s="15">
        <v>219390710</v>
      </c>
      <c r="D45" s="112">
        <v>44621</v>
      </c>
      <c r="E45" s="21" t="s">
        <v>61</v>
      </c>
      <c r="F45" s="15">
        <f t="shared" si="0"/>
        <v>219390710</v>
      </c>
      <c r="G45" s="21" t="s">
        <v>62</v>
      </c>
      <c r="H45" s="15">
        <f t="shared" si="1"/>
        <v>0</v>
      </c>
      <c r="I45" s="21" t="s">
        <v>310</v>
      </c>
      <c r="J45" s="21" t="s">
        <v>223</v>
      </c>
      <c r="K45" s="21" t="s">
        <v>284</v>
      </c>
      <c r="L45" s="112">
        <v>44615</v>
      </c>
      <c r="M45" s="127">
        <v>176921</v>
      </c>
      <c r="N45" s="114">
        <v>44477</v>
      </c>
      <c r="O45" s="115" t="s">
        <v>66</v>
      </c>
      <c r="P45" s="115" t="s">
        <v>767</v>
      </c>
      <c r="Q45" s="115" t="s">
        <v>112</v>
      </c>
      <c r="R45" s="116" t="s">
        <v>311</v>
      </c>
      <c r="S45" s="115" t="s">
        <v>69</v>
      </c>
      <c r="T45" s="117">
        <v>44671</v>
      </c>
      <c r="U45" s="117" t="s">
        <v>124</v>
      </c>
      <c r="V45" s="118">
        <v>0</v>
      </c>
      <c r="W45" s="118">
        <v>0</v>
      </c>
      <c r="X45" s="118" t="s">
        <v>125</v>
      </c>
      <c r="Y45" s="118"/>
      <c r="Z45" s="125" t="s">
        <v>143</v>
      </c>
      <c r="AA45" s="118"/>
      <c r="AB45" s="132" t="s">
        <v>125</v>
      </c>
      <c r="AC45" s="117" t="s">
        <v>145</v>
      </c>
      <c r="AD45" s="121" t="s">
        <v>312</v>
      </c>
      <c r="AE45" s="122" t="s">
        <v>1287</v>
      </c>
      <c r="AF45" s="126"/>
      <c r="AG45" s="114"/>
      <c r="AH45" s="21"/>
      <c r="AI45" s="21"/>
      <c r="AJ45" s="21"/>
      <c r="AK45" s="118"/>
      <c r="AL45" s="118" t="str">
        <f t="shared" si="2"/>
        <v/>
      </c>
      <c r="AM45" s="123"/>
      <c r="AN45" s="123"/>
      <c r="AO45" s="123"/>
      <c r="AP45" s="123"/>
      <c r="AQ45" s="123"/>
      <c r="AR45" s="123"/>
      <c r="AS45" s="123"/>
      <c r="AT45" s="123"/>
      <c r="AU45" s="123"/>
      <c r="AV45" s="123"/>
      <c r="AW45" s="124" t="str">
        <f t="shared" si="3"/>
        <v/>
      </c>
      <c r="AX45" s="124" t="str">
        <f>IF(AK45="","",ROUND(AL45/INT(LEFT(AH45,FIND("m",AH45)-1))*50%,0))</f>
        <v/>
      </c>
      <c r="AY45" s="124" t="str">
        <f t="shared" si="5"/>
        <v/>
      </c>
      <c r="AZ45" s="124" t="str">
        <f t="shared" si="6"/>
        <v/>
      </c>
      <c r="BA45" s="21"/>
      <c r="BB45" s="21"/>
      <c r="BC45" s="21"/>
      <c r="BD45" s="21"/>
      <c r="BE45" s="21"/>
      <c r="BF45" s="21"/>
      <c r="BG45" s="21"/>
      <c r="BH45" s="21"/>
      <c r="BI45" s="21"/>
      <c r="BJ45" s="21"/>
    </row>
    <row r="46" spans="1:62" ht="14" x14ac:dyDescent="0.15">
      <c r="A46" s="17">
        <v>42</v>
      </c>
      <c r="B46" s="21" t="s">
        <v>313</v>
      </c>
      <c r="C46" s="15">
        <v>148494380</v>
      </c>
      <c r="D46" s="112">
        <v>44621</v>
      </c>
      <c r="E46" s="21" t="s">
        <v>61</v>
      </c>
      <c r="F46" s="15">
        <f t="shared" si="0"/>
        <v>148494380</v>
      </c>
      <c r="G46" s="21" t="s">
        <v>62</v>
      </c>
      <c r="H46" s="15">
        <f t="shared" si="1"/>
        <v>0</v>
      </c>
      <c r="I46" s="21" t="s">
        <v>314</v>
      </c>
      <c r="J46" s="21" t="s">
        <v>160</v>
      </c>
      <c r="K46" s="21" t="s">
        <v>284</v>
      </c>
      <c r="L46" s="112">
        <v>44615</v>
      </c>
      <c r="M46" s="127">
        <v>176921</v>
      </c>
      <c r="N46" s="114">
        <v>44477</v>
      </c>
      <c r="O46" s="115" t="s">
        <v>66</v>
      </c>
      <c r="P46" s="115" t="s">
        <v>767</v>
      </c>
      <c r="Q46" s="115" t="s">
        <v>112</v>
      </c>
      <c r="R46" s="116" t="s">
        <v>315</v>
      </c>
      <c r="S46" s="115" t="s">
        <v>69</v>
      </c>
      <c r="T46" s="117">
        <v>44645</v>
      </c>
      <c r="U46" s="117"/>
      <c r="V46" s="118">
        <v>140248189</v>
      </c>
      <c r="W46" s="118">
        <f t="shared" si="4"/>
        <v>140248189</v>
      </c>
      <c r="X46" s="118" t="s">
        <v>1154</v>
      </c>
      <c r="Y46" s="118"/>
      <c r="Z46" s="118" t="s">
        <v>79</v>
      </c>
      <c r="AA46" s="118">
        <v>0</v>
      </c>
      <c r="AB46" s="119" t="s">
        <v>316</v>
      </c>
      <c r="AC46" s="120">
        <v>44650</v>
      </c>
      <c r="AD46" s="121">
        <v>901578965</v>
      </c>
      <c r="AE46" s="122" t="s">
        <v>1265</v>
      </c>
      <c r="AF46" s="126">
        <v>44669</v>
      </c>
      <c r="AG46" s="114">
        <v>44985</v>
      </c>
      <c r="AH46" s="21" t="s">
        <v>163</v>
      </c>
      <c r="AI46" s="21" t="s">
        <v>317</v>
      </c>
      <c r="AJ46" s="21"/>
      <c r="AK46" s="118">
        <v>11852507</v>
      </c>
      <c r="AL46" s="118">
        <f t="shared" si="2"/>
        <v>128395682</v>
      </c>
      <c r="AM46" s="123"/>
      <c r="AN46" s="123"/>
      <c r="AO46" s="123"/>
      <c r="AP46" s="123"/>
      <c r="AQ46" s="123"/>
      <c r="AR46" s="123"/>
      <c r="AS46" s="123"/>
      <c r="AT46" s="123"/>
      <c r="AU46" s="123"/>
      <c r="AV46" s="123">
        <v>0.1</v>
      </c>
      <c r="AW46" s="124">
        <f t="shared" si="3"/>
        <v>11852507</v>
      </c>
      <c r="AX46" s="124">
        <f>IF(AK46="","",ROUND(AL46/INT(LEFT(AH46,FIND("m",AH46)-1)+1)*50%,0))</f>
        <v>9171120</v>
      </c>
      <c r="AY46" s="124">
        <f t="shared" si="5"/>
        <v>51358272.799999997</v>
      </c>
      <c r="AZ46" s="124">
        <f t="shared" si="6"/>
        <v>12839568.199999999</v>
      </c>
      <c r="BA46" s="21" t="s">
        <v>83</v>
      </c>
      <c r="BB46" s="21"/>
      <c r="BC46" s="21"/>
      <c r="BD46" s="21"/>
      <c r="BE46" s="21"/>
      <c r="BF46" s="21"/>
      <c r="BG46" s="21"/>
      <c r="BH46" s="21"/>
      <c r="BI46" s="21"/>
      <c r="BJ46" s="21"/>
    </row>
    <row r="47" spans="1:62" ht="14" x14ac:dyDescent="0.15">
      <c r="A47" s="17">
        <v>43</v>
      </c>
      <c r="B47" s="21" t="s">
        <v>318</v>
      </c>
      <c r="C47" s="15">
        <v>525101300</v>
      </c>
      <c r="D47" s="112">
        <v>44621</v>
      </c>
      <c r="E47" s="21" t="s">
        <v>85</v>
      </c>
      <c r="F47" s="15">
        <f t="shared" si="0"/>
        <v>525101300</v>
      </c>
      <c r="G47" s="21" t="s">
        <v>62</v>
      </c>
      <c r="H47" s="15">
        <f t="shared" si="1"/>
        <v>0</v>
      </c>
      <c r="I47" s="21" t="s">
        <v>319</v>
      </c>
      <c r="J47" s="21" t="s">
        <v>223</v>
      </c>
      <c r="K47" s="21" t="s">
        <v>284</v>
      </c>
      <c r="L47" s="112">
        <v>44615</v>
      </c>
      <c r="M47" s="127">
        <v>176921</v>
      </c>
      <c r="N47" s="114">
        <v>44477</v>
      </c>
      <c r="O47" s="115" t="s">
        <v>66</v>
      </c>
      <c r="P47" s="115" t="s">
        <v>767</v>
      </c>
      <c r="Q47" s="115" t="s">
        <v>112</v>
      </c>
      <c r="R47" s="116" t="s">
        <v>320</v>
      </c>
      <c r="S47" s="115" t="s">
        <v>69</v>
      </c>
      <c r="T47" s="117">
        <v>44650</v>
      </c>
      <c r="U47" s="117"/>
      <c r="V47" s="118">
        <v>492131640</v>
      </c>
      <c r="W47" s="118">
        <f t="shared" si="4"/>
        <v>492131640</v>
      </c>
      <c r="X47" s="118" t="s">
        <v>1154</v>
      </c>
      <c r="Y47" s="118"/>
      <c r="Z47" s="125" t="s">
        <v>79</v>
      </c>
      <c r="AA47" s="124">
        <v>471135280</v>
      </c>
      <c r="AB47" s="119" t="s">
        <v>321</v>
      </c>
      <c r="AC47" s="120">
        <v>44662</v>
      </c>
      <c r="AD47" s="121">
        <v>824004441</v>
      </c>
      <c r="AE47" s="122" t="s">
        <v>1288</v>
      </c>
      <c r="AF47" s="126">
        <v>44718</v>
      </c>
      <c r="AG47" s="114">
        <v>45082</v>
      </c>
      <c r="AH47" s="21" t="s">
        <v>97</v>
      </c>
      <c r="AI47" s="21" t="s">
        <v>322</v>
      </c>
      <c r="AJ47" s="21"/>
      <c r="AK47" s="118">
        <v>20996360</v>
      </c>
      <c r="AL47" s="118">
        <f t="shared" si="2"/>
        <v>471135280</v>
      </c>
      <c r="AM47" s="123"/>
      <c r="AN47" s="123"/>
      <c r="AO47" s="123"/>
      <c r="AP47" s="123"/>
      <c r="AQ47" s="123"/>
      <c r="AR47" s="123"/>
      <c r="AS47" s="123"/>
      <c r="AT47" s="123"/>
      <c r="AU47" s="123"/>
      <c r="AV47" s="123">
        <v>0.1</v>
      </c>
      <c r="AW47" s="124">
        <f t="shared" si="3"/>
        <v>20996360</v>
      </c>
      <c r="AX47" s="124">
        <f t="shared" ref="AX47:AX53" si="8">IF(AK47="","",ROUND(AL47/INT(LEFT(AH47,FIND("m",AH47)-1))*50%,0))</f>
        <v>23556764</v>
      </c>
      <c r="AY47" s="124">
        <f t="shared" si="5"/>
        <v>188454112</v>
      </c>
      <c r="AZ47" s="124">
        <f t="shared" si="6"/>
        <v>47113528</v>
      </c>
      <c r="BA47" s="21"/>
      <c r="BB47" s="21"/>
      <c r="BC47" s="21"/>
      <c r="BD47" s="21"/>
      <c r="BE47" s="21"/>
      <c r="BF47" s="21"/>
      <c r="BG47" s="21"/>
      <c r="BH47" s="21"/>
      <c r="BI47" s="21"/>
      <c r="BJ47" s="21"/>
    </row>
    <row r="48" spans="1:62" ht="14" x14ac:dyDescent="0.15">
      <c r="A48" s="17">
        <v>44</v>
      </c>
      <c r="B48" s="21" t="s">
        <v>323</v>
      </c>
      <c r="C48" s="15">
        <v>431801170</v>
      </c>
      <c r="D48" s="112">
        <v>44621</v>
      </c>
      <c r="E48" s="21" t="s">
        <v>61</v>
      </c>
      <c r="F48" s="15">
        <f t="shared" si="0"/>
        <v>431801170</v>
      </c>
      <c r="G48" s="21" t="s">
        <v>62</v>
      </c>
      <c r="H48" s="15">
        <f t="shared" si="1"/>
        <v>0</v>
      </c>
      <c r="I48" s="21" t="s">
        <v>208</v>
      </c>
      <c r="J48" s="21" t="s">
        <v>141</v>
      </c>
      <c r="K48" s="21" t="s">
        <v>284</v>
      </c>
      <c r="L48" s="112">
        <v>44615</v>
      </c>
      <c r="M48" s="127">
        <v>176921</v>
      </c>
      <c r="N48" s="114">
        <v>44477</v>
      </c>
      <c r="O48" s="115" t="s">
        <v>66</v>
      </c>
      <c r="P48" s="115" t="s">
        <v>767</v>
      </c>
      <c r="Q48" s="115" t="s">
        <v>112</v>
      </c>
      <c r="R48" s="116" t="s">
        <v>324</v>
      </c>
      <c r="S48" s="115" t="s">
        <v>69</v>
      </c>
      <c r="T48" s="117">
        <v>44649</v>
      </c>
      <c r="U48" s="117"/>
      <c r="V48" s="118">
        <v>407574770</v>
      </c>
      <c r="W48" s="118">
        <f t="shared" si="4"/>
        <v>407574770</v>
      </c>
      <c r="X48" s="118" t="s">
        <v>1154</v>
      </c>
      <c r="Y48" s="118"/>
      <c r="Z48" s="118" t="s">
        <v>70</v>
      </c>
      <c r="AA48" s="118"/>
      <c r="AB48" s="119" t="s">
        <v>325</v>
      </c>
      <c r="AC48" s="120">
        <v>44658</v>
      </c>
      <c r="AD48" s="121">
        <v>901581462</v>
      </c>
      <c r="AE48" s="122" t="s">
        <v>1192</v>
      </c>
      <c r="AF48" s="126">
        <v>44676</v>
      </c>
      <c r="AG48" s="114">
        <v>45563</v>
      </c>
      <c r="AH48" s="21" t="s">
        <v>326</v>
      </c>
      <c r="AI48" s="21"/>
      <c r="AJ48" s="21"/>
      <c r="AK48" s="118">
        <v>21435108</v>
      </c>
      <c r="AL48" s="118">
        <f t="shared" si="2"/>
        <v>386139662</v>
      </c>
      <c r="AM48" s="123"/>
      <c r="AN48" s="123"/>
      <c r="AO48" s="123"/>
      <c r="AP48" s="123"/>
      <c r="AQ48" s="123"/>
      <c r="AR48" s="123"/>
      <c r="AS48" s="123"/>
      <c r="AT48" s="123"/>
      <c r="AU48" s="123"/>
      <c r="AV48" s="123">
        <v>0.1</v>
      </c>
      <c r="AW48" s="124">
        <f>IF(AK48="","",AK48)</f>
        <v>21435108</v>
      </c>
      <c r="AX48" s="124">
        <f t="shared" si="8"/>
        <v>193069831</v>
      </c>
      <c r="AY48" s="124">
        <f t="shared" si="5"/>
        <v>154455864.80000001</v>
      </c>
      <c r="AZ48" s="124">
        <f t="shared" si="6"/>
        <v>38613966.200000003</v>
      </c>
      <c r="BA48" s="21" t="s">
        <v>74</v>
      </c>
      <c r="BB48" s="21"/>
      <c r="BC48" s="21"/>
      <c r="BD48" s="21"/>
      <c r="BE48" s="21"/>
      <c r="BF48" s="21"/>
      <c r="BG48" s="21"/>
      <c r="BH48" s="21"/>
      <c r="BI48" s="21"/>
      <c r="BJ48" s="21"/>
    </row>
    <row r="49" spans="1:62" ht="14" x14ac:dyDescent="0.15">
      <c r="A49" s="17">
        <v>45</v>
      </c>
      <c r="B49" s="21" t="s">
        <v>327</v>
      </c>
      <c r="C49" s="15">
        <v>121942540</v>
      </c>
      <c r="D49" s="112">
        <v>44621</v>
      </c>
      <c r="E49" s="21" t="s">
        <v>61</v>
      </c>
      <c r="F49" s="15">
        <f t="shared" si="0"/>
        <v>121942540</v>
      </c>
      <c r="G49" s="21" t="s">
        <v>62</v>
      </c>
      <c r="H49" s="15">
        <f t="shared" si="1"/>
        <v>0</v>
      </c>
      <c r="I49" s="21" t="s">
        <v>328</v>
      </c>
      <c r="J49" s="21" t="s">
        <v>120</v>
      </c>
      <c r="K49" s="21" t="s">
        <v>277</v>
      </c>
      <c r="L49" s="112">
        <v>44616</v>
      </c>
      <c r="M49" s="127">
        <v>176921</v>
      </c>
      <c r="N49" s="114">
        <v>44477</v>
      </c>
      <c r="O49" s="115" t="s">
        <v>66</v>
      </c>
      <c r="P49" s="115" t="s">
        <v>767</v>
      </c>
      <c r="Q49" s="115" t="s">
        <v>112</v>
      </c>
      <c r="R49" s="116" t="s">
        <v>329</v>
      </c>
      <c r="S49" s="115" t="s">
        <v>69</v>
      </c>
      <c r="T49" s="117">
        <v>44651</v>
      </c>
      <c r="U49" s="117"/>
      <c r="V49" s="118">
        <v>112796850</v>
      </c>
      <c r="W49" s="118">
        <f t="shared" si="4"/>
        <v>112796850</v>
      </c>
      <c r="X49" s="118" t="s">
        <v>1154</v>
      </c>
      <c r="Y49" s="118"/>
      <c r="Z49" s="125" t="s">
        <v>79</v>
      </c>
      <c r="AA49" s="118">
        <v>0</v>
      </c>
      <c r="AB49" s="119" t="s">
        <v>330</v>
      </c>
      <c r="AC49" s="120">
        <v>44694</v>
      </c>
      <c r="AD49" s="121">
        <v>901588851</v>
      </c>
      <c r="AE49" s="122" t="s">
        <v>1289</v>
      </c>
      <c r="AF49" s="126"/>
      <c r="AG49" s="114"/>
      <c r="AH49" s="21" t="s">
        <v>185</v>
      </c>
      <c r="AI49" s="21" t="s">
        <v>331</v>
      </c>
      <c r="AJ49" s="21"/>
      <c r="AK49" s="118">
        <v>6510705</v>
      </c>
      <c r="AL49" s="118">
        <f t="shared" si="2"/>
        <v>106286145</v>
      </c>
      <c r="AM49" s="123"/>
      <c r="AN49" s="123"/>
      <c r="AO49" s="123"/>
      <c r="AP49" s="123"/>
      <c r="AQ49" s="123"/>
      <c r="AR49" s="123"/>
      <c r="AS49" s="123"/>
      <c r="AT49" s="123"/>
      <c r="AU49" s="123"/>
      <c r="AV49" s="123">
        <v>0.1</v>
      </c>
      <c r="AW49" s="124">
        <f t="shared" si="3"/>
        <v>6510705</v>
      </c>
      <c r="AX49" s="124">
        <f t="shared" si="8"/>
        <v>7591868</v>
      </c>
      <c r="AY49" s="124">
        <f t="shared" si="5"/>
        <v>42514458</v>
      </c>
      <c r="AZ49" s="124">
        <f t="shared" si="6"/>
        <v>10628614.5</v>
      </c>
      <c r="BA49" s="21"/>
      <c r="BB49" s="21"/>
      <c r="BC49" s="21"/>
      <c r="BD49" s="21"/>
      <c r="BE49" s="21"/>
      <c r="BF49" s="21"/>
      <c r="BG49" s="21"/>
      <c r="BH49" s="21"/>
      <c r="BI49" s="21"/>
      <c r="BJ49" s="21"/>
    </row>
    <row r="50" spans="1:62" ht="14" x14ac:dyDescent="0.15">
      <c r="A50" s="17">
        <v>46</v>
      </c>
      <c r="B50" s="21" t="s">
        <v>332</v>
      </c>
      <c r="C50" s="15">
        <v>161022910</v>
      </c>
      <c r="D50" s="112">
        <v>44621</v>
      </c>
      <c r="E50" s="21" t="s">
        <v>61</v>
      </c>
      <c r="F50" s="15">
        <f t="shared" si="0"/>
        <v>161022910</v>
      </c>
      <c r="G50" s="21" t="s">
        <v>62</v>
      </c>
      <c r="H50" s="15">
        <f t="shared" si="1"/>
        <v>0</v>
      </c>
      <c r="I50" s="21" t="s">
        <v>333</v>
      </c>
      <c r="J50" s="21" t="s">
        <v>334</v>
      </c>
      <c r="K50" s="21" t="s">
        <v>277</v>
      </c>
      <c r="L50" s="112">
        <v>44616</v>
      </c>
      <c r="M50" s="127">
        <v>176921</v>
      </c>
      <c r="N50" s="114">
        <v>44477</v>
      </c>
      <c r="O50" s="115" t="s">
        <v>66</v>
      </c>
      <c r="P50" s="115" t="s">
        <v>767</v>
      </c>
      <c r="Q50" s="115" t="s">
        <v>112</v>
      </c>
      <c r="R50" s="116" t="s">
        <v>335</v>
      </c>
      <c r="S50" s="115" t="s">
        <v>69</v>
      </c>
      <c r="T50" s="117">
        <v>44651</v>
      </c>
      <c r="U50" s="117"/>
      <c r="V50" s="118">
        <v>154501483</v>
      </c>
      <c r="W50" s="118">
        <f t="shared" si="4"/>
        <v>154501483</v>
      </c>
      <c r="X50" s="118" t="s">
        <v>1154</v>
      </c>
      <c r="Y50" s="118"/>
      <c r="Z50" s="125" t="s">
        <v>79</v>
      </c>
      <c r="AA50" s="118">
        <v>138700465</v>
      </c>
      <c r="AB50" s="119" t="s">
        <v>336</v>
      </c>
      <c r="AC50" s="120">
        <v>44698</v>
      </c>
      <c r="AD50" s="121">
        <v>901585669</v>
      </c>
      <c r="AE50" s="122" t="s">
        <v>1290</v>
      </c>
      <c r="AF50" s="126">
        <v>44749</v>
      </c>
      <c r="AG50" s="114">
        <v>45026</v>
      </c>
      <c r="AH50" s="21" t="s">
        <v>185</v>
      </c>
      <c r="AI50" s="21" t="s">
        <v>337</v>
      </c>
      <c r="AJ50" s="21"/>
      <c r="AK50" s="118">
        <v>15801018</v>
      </c>
      <c r="AL50" s="118">
        <f t="shared" si="2"/>
        <v>138700465</v>
      </c>
      <c r="AM50" s="123"/>
      <c r="AN50" s="123"/>
      <c r="AO50" s="123"/>
      <c r="AP50" s="123"/>
      <c r="AQ50" s="123"/>
      <c r="AR50" s="123"/>
      <c r="AS50" s="123"/>
      <c r="AT50" s="123"/>
      <c r="AU50" s="123"/>
      <c r="AV50" s="123">
        <v>0.1</v>
      </c>
      <c r="AW50" s="124">
        <f t="shared" si="3"/>
        <v>15801018</v>
      </c>
      <c r="AX50" s="124">
        <f t="shared" si="8"/>
        <v>9907176</v>
      </c>
      <c r="AY50" s="124">
        <f t="shared" si="5"/>
        <v>55480186</v>
      </c>
      <c r="AZ50" s="124">
        <f t="shared" si="6"/>
        <v>13870046.5</v>
      </c>
      <c r="BA50" s="21" t="s">
        <v>99</v>
      </c>
      <c r="BB50" s="21"/>
      <c r="BC50" s="21"/>
      <c r="BD50" s="21"/>
      <c r="BE50" s="21"/>
      <c r="BF50" s="21"/>
      <c r="BG50" s="21"/>
      <c r="BH50" s="21"/>
      <c r="BI50" s="21"/>
      <c r="BJ50" s="21"/>
    </row>
    <row r="51" spans="1:62" ht="14" x14ac:dyDescent="0.15">
      <c r="A51" s="17">
        <v>47</v>
      </c>
      <c r="B51" s="21" t="s">
        <v>338</v>
      </c>
      <c r="C51" s="15">
        <v>148765790</v>
      </c>
      <c r="D51" s="112">
        <v>44621</v>
      </c>
      <c r="E51" s="21" t="s">
        <v>61</v>
      </c>
      <c r="F51" s="15">
        <f t="shared" si="0"/>
        <v>148765790</v>
      </c>
      <c r="G51" s="21" t="s">
        <v>62</v>
      </c>
      <c r="H51" s="15">
        <f t="shared" si="1"/>
        <v>0</v>
      </c>
      <c r="I51" s="21" t="s">
        <v>339</v>
      </c>
      <c r="J51" s="21" t="s">
        <v>340</v>
      </c>
      <c r="K51" s="21" t="s">
        <v>277</v>
      </c>
      <c r="L51" s="112">
        <v>44616</v>
      </c>
      <c r="M51" s="127">
        <v>176921</v>
      </c>
      <c r="N51" s="114">
        <v>44477</v>
      </c>
      <c r="O51" s="115" t="s">
        <v>66</v>
      </c>
      <c r="P51" s="115" t="s">
        <v>767</v>
      </c>
      <c r="Q51" s="115" t="s">
        <v>265</v>
      </c>
      <c r="R51" s="116" t="s">
        <v>341</v>
      </c>
      <c r="S51" s="115" t="s">
        <v>69</v>
      </c>
      <c r="T51" s="117">
        <v>44651</v>
      </c>
      <c r="U51" s="117" t="s">
        <v>124</v>
      </c>
      <c r="V51" s="118">
        <v>0</v>
      </c>
      <c r="W51" s="118">
        <v>141362162</v>
      </c>
      <c r="X51" s="118" t="s">
        <v>125</v>
      </c>
      <c r="Y51" s="118"/>
      <c r="Z51" s="125" t="s">
        <v>179</v>
      </c>
      <c r="AA51" s="118">
        <v>141362162</v>
      </c>
      <c r="AB51" s="119" t="s">
        <v>342</v>
      </c>
      <c r="AC51" s="120">
        <v>44670</v>
      </c>
      <c r="AD51" s="121">
        <v>901583441</v>
      </c>
      <c r="AE51" s="122" t="s">
        <v>1291</v>
      </c>
      <c r="AF51" s="126"/>
      <c r="AG51" s="114"/>
      <c r="AH51" s="21" t="s">
        <v>185</v>
      </c>
      <c r="AI51" s="126"/>
      <c r="AJ51" s="126">
        <v>44761</v>
      </c>
      <c r="AK51" s="118">
        <v>8610251</v>
      </c>
      <c r="AL51" s="118">
        <f t="shared" si="2"/>
        <v>-8610251</v>
      </c>
      <c r="AM51" s="123"/>
      <c r="AN51" s="123"/>
      <c r="AO51" s="123"/>
      <c r="AP51" s="123"/>
      <c r="AQ51" s="123"/>
      <c r="AR51" s="123"/>
      <c r="AS51" s="123"/>
      <c r="AT51" s="123"/>
      <c r="AU51" s="123"/>
      <c r="AV51" s="123">
        <v>0.1</v>
      </c>
      <c r="AW51" s="124">
        <f t="shared" si="3"/>
        <v>8610251</v>
      </c>
      <c r="AX51" s="124">
        <f t="shared" si="8"/>
        <v>-615018</v>
      </c>
      <c r="AY51" s="124">
        <f t="shared" si="5"/>
        <v>-3444100.4</v>
      </c>
      <c r="AZ51" s="124">
        <f t="shared" si="6"/>
        <v>-861025.1</v>
      </c>
      <c r="BA51" s="21"/>
      <c r="BB51" s="21"/>
      <c r="BC51" s="21"/>
      <c r="BD51" s="21"/>
      <c r="BE51" s="21"/>
      <c r="BF51" s="21"/>
      <c r="BG51" s="21"/>
      <c r="BH51" s="21"/>
      <c r="BI51" s="21"/>
      <c r="BJ51" s="21"/>
    </row>
    <row r="52" spans="1:62" ht="14" x14ac:dyDescent="0.15">
      <c r="A52" s="17">
        <v>48</v>
      </c>
      <c r="B52" s="21" t="s">
        <v>343</v>
      </c>
      <c r="C52" s="15">
        <v>159928180</v>
      </c>
      <c r="D52" s="112">
        <v>44621</v>
      </c>
      <c r="E52" s="21" t="s">
        <v>61</v>
      </c>
      <c r="F52" s="15">
        <f t="shared" si="0"/>
        <v>159928180</v>
      </c>
      <c r="G52" s="21" t="s">
        <v>62</v>
      </c>
      <c r="H52" s="15">
        <f t="shared" si="1"/>
        <v>0</v>
      </c>
      <c r="I52" s="21" t="s">
        <v>344</v>
      </c>
      <c r="J52" s="21" t="s">
        <v>345</v>
      </c>
      <c r="K52" s="21" t="s">
        <v>277</v>
      </c>
      <c r="L52" s="112">
        <v>44616</v>
      </c>
      <c r="M52" s="127">
        <v>176921</v>
      </c>
      <c r="N52" s="114">
        <v>44477</v>
      </c>
      <c r="O52" s="115" t="s">
        <v>66</v>
      </c>
      <c r="P52" s="115" t="s">
        <v>767</v>
      </c>
      <c r="Q52" s="115" t="s">
        <v>265</v>
      </c>
      <c r="R52" s="116" t="s">
        <v>346</v>
      </c>
      <c r="S52" s="115" t="s">
        <v>69</v>
      </c>
      <c r="T52" s="117">
        <v>44651</v>
      </c>
      <c r="U52" s="117" t="s">
        <v>124</v>
      </c>
      <c r="V52" s="118">
        <v>0</v>
      </c>
      <c r="W52" s="118">
        <v>151609996</v>
      </c>
      <c r="X52" s="118" t="s">
        <v>125</v>
      </c>
      <c r="Y52" s="118"/>
      <c r="Z52" s="125" t="s">
        <v>179</v>
      </c>
      <c r="AA52" s="118">
        <v>151609996</v>
      </c>
      <c r="AB52" s="119" t="s">
        <v>347</v>
      </c>
      <c r="AC52" s="120">
        <v>44664</v>
      </c>
      <c r="AD52" s="121">
        <v>901582595</v>
      </c>
      <c r="AE52" s="122" t="s">
        <v>1292</v>
      </c>
      <c r="AF52" s="126"/>
      <c r="AG52" s="114"/>
      <c r="AH52" s="21" t="s">
        <v>163</v>
      </c>
      <c r="AI52" s="126"/>
      <c r="AJ52" s="126">
        <v>44761</v>
      </c>
      <c r="AK52" s="118">
        <v>11658100</v>
      </c>
      <c r="AL52" s="118">
        <f t="shared" si="2"/>
        <v>-11658100</v>
      </c>
      <c r="AM52" s="123"/>
      <c r="AN52" s="123"/>
      <c r="AO52" s="123"/>
      <c r="AP52" s="123"/>
      <c r="AQ52" s="123"/>
      <c r="AR52" s="123"/>
      <c r="AS52" s="123"/>
      <c r="AT52" s="123"/>
      <c r="AU52" s="123"/>
      <c r="AV52" s="123">
        <v>0.1</v>
      </c>
      <c r="AW52" s="124">
        <f t="shared" si="3"/>
        <v>11658100</v>
      </c>
      <c r="AX52" s="124">
        <f t="shared" si="8"/>
        <v>-971508</v>
      </c>
      <c r="AY52" s="124">
        <f t="shared" si="5"/>
        <v>-4663240</v>
      </c>
      <c r="AZ52" s="124">
        <f t="shared" si="6"/>
        <v>-1165810</v>
      </c>
      <c r="BA52" s="21"/>
      <c r="BB52" s="21"/>
      <c r="BC52" s="21"/>
      <c r="BD52" s="21"/>
      <c r="BE52" s="21"/>
      <c r="BF52" s="21"/>
      <c r="BG52" s="21"/>
      <c r="BH52" s="21"/>
      <c r="BI52" s="21"/>
      <c r="BJ52" s="21"/>
    </row>
    <row r="53" spans="1:62" ht="14" x14ac:dyDescent="0.15">
      <c r="A53" s="17">
        <v>49</v>
      </c>
      <c r="B53" s="21" t="s">
        <v>348</v>
      </c>
      <c r="C53" s="15">
        <v>145667970</v>
      </c>
      <c r="D53" s="112">
        <v>44621</v>
      </c>
      <c r="E53" s="21" t="s">
        <v>61</v>
      </c>
      <c r="F53" s="15">
        <f t="shared" si="0"/>
        <v>145667970</v>
      </c>
      <c r="G53" s="21" t="s">
        <v>62</v>
      </c>
      <c r="H53" s="15">
        <f t="shared" si="1"/>
        <v>0</v>
      </c>
      <c r="I53" s="21" t="s">
        <v>349</v>
      </c>
      <c r="J53" s="21" t="s">
        <v>350</v>
      </c>
      <c r="K53" s="21" t="s">
        <v>351</v>
      </c>
      <c r="L53" s="112">
        <v>44620</v>
      </c>
      <c r="M53" s="127">
        <v>176921</v>
      </c>
      <c r="N53" s="114">
        <v>44477</v>
      </c>
      <c r="O53" s="115" t="s">
        <v>66</v>
      </c>
      <c r="P53" s="115" t="s">
        <v>767</v>
      </c>
      <c r="Q53" s="115" t="s">
        <v>112</v>
      </c>
      <c r="R53" s="116" t="s">
        <v>352</v>
      </c>
      <c r="S53" s="115" t="s">
        <v>69</v>
      </c>
      <c r="T53" s="117">
        <v>44650</v>
      </c>
      <c r="U53" s="117" t="s">
        <v>124</v>
      </c>
      <c r="V53" s="118">
        <v>0</v>
      </c>
      <c r="W53" s="118">
        <v>136008727</v>
      </c>
      <c r="X53" s="118" t="s">
        <v>125</v>
      </c>
      <c r="Y53" s="118"/>
      <c r="Z53" s="125" t="s">
        <v>267</v>
      </c>
      <c r="AA53" s="118">
        <v>0</v>
      </c>
      <c r="AB53" s="119" t="s">
        <v>353</v>
      </c>
      <c r="AC53" s="120">
        <v>44658</v>
      </c>
      <c r="AD53" s="121">
        <v>8746699</v>
      </c>
      <c r="AE53" s="122" t="s">
        <v>1282</v>
      </c>
      <c r="AF53" s="126"/>
      <c r="AG53" s="114"/>
      <c r="AH53" s="21" t="s">
        <v>185</v>
      </c>
      <c r="AI53" s="21"/>
      <c r="AJ53" s="126">
        <v>44715</v>
      </c>
      <c r="AK53" s="118">
        <v>10600631</v>
      </c>
      <c r="AL53" s="118">
        <f t="shared" si="2"/>
        <v>-10600631</v>
      </c>
      <c r="AM53" s="123"/>
      <c r="AN53" s="123"/>
      <c r="AO53" s="123"/>
      <c r="AP53" s="123"/>
      <c r="AQ53" s="123"/>
      <c r="AR53" s="123"/>
      <c r="AS53" s="123"/>
      <c r="AT53" s="123"/>
      <c r="AU53" s="123"/>
      <c r="AV53" s="123">
        <v>0.1</v>
      </c>
      <c r="AW53" s="124">
        <f t="shared" si="3"/>
        <v>10600631</v>
      </c>
      <c r="AX53" s="124">
        <f t="shared" si="8"/>
        <v>-757188</v>
      </c>
      <c r="AY53" s="124">
        <f t="shared" si="5"/>
        <v>-4240252.4000000004</v>
      </c>
      <c r="AZ53" s="124">
        <f t="shared" si="6"/>
        <v>-1060063.1000000001</v>
      </c>
      <c r="BA53" s="21"/>
      <c r="BB53" s="21"/>
      <c r="BC53" s="21"/>
      <c r="BD53" s="21"/>
      <c r="BE53" s="21"/>
      <c r="BF53" s="21"/>
      <c r="BG53" s="21"/>
      <c r="BH53" s="21"/>
      <c r="BI53" s="21"/>
      <c r="BJ53" s="21"/>
    </row>
    <row r="54" spans="1:62" ht="14" x14ac:dyDescent="0.15">
      <c r="A54" s="17">
        <v>50</v>
      </c>
      <c r="B54" s="21" t="s">
        <v>354</v>
      </c>
      <c r="C54" s="15">
        <v>211954810</v>
      </c>
      <c r="D54" s="112">
        <v>44621</v>
      </c>
      <c r="E54" s="21" t="s">
        <v>85</v>
      </c>
      <c r="F54" s="15">
        <f t="shared" si="0"/>
        <v>211954810</v>
      </c>
      <c r="G54" s="21" t="s">
        <v>62</v>
      </c>
      <c r="H54" s="15">
        <f t="shared" si="1"/>
        <v>0</v>
      </c>
      <c r="I54" s="21" t="s">
        <v>355</v>
      </c>
      <c r="J54" s="21" t="s">
        <v>172</v>
      </c>
      <c r="K54" s="21" t="s">
        <v>351</v>
      </c>
      <c r="L54" s="112">
        <v>44620</v>
      </c>
      <c r="M54" s="127">
        <v>176921</v>
      </c>
      <c r="N54" s="114">
        <v>44477</v>
      </c>
      <c r="O54" s="115" t="s">
        <v>66</v>
      </c>
      <c r="P54" s="115" t="s">
        <v>767</v>
      </c>
      <c r="Q54" s="115" t="s">
        <v>112</v>
      </c>
      <c r="R54" s="116" t="s">
        <v>356</v>
      </c>
      <c r="S54" s="115" t="s">
        <v>69</v>
      </c>
      <c r="T54" s="117">
        <v>44650</v>
      </c>
      <c r="U54" s="117"/>
      <c r="V54" s="118">
        <v>209199263</v>
      </c>
      <c r="W54" s="118">
        <f t="shared" si="4"/>
        <v>209199263</v>
      </c>
      <c r="X54" s="118" t="s">
        <v>1154</v>
      </c>
      <c r="Y54" s="118"/>
      <c r="Z54" s="118" t="s">
        <v>79</v>
      </c>
      <c r="AA54" s="118"/>
      <c r="AB54" s="119" t="s">
        <v>357</v>
      </c>
      <c r="AC54" s="120">
        <v>44655</v>
      </c>
      <c r="AD54" s="121">
        <v>901579530</v>
      </c>
      <c r="AE54" s="122" t="s">
        <v>1269</v>
      </c>
      <c r="AF54" s="126">
        <v>44686</v>
      </c>
      <c r="AG54" s="114">
        <v>45100</v>
      </c>
      <c r="AH54" s="21" t="s">
        <v>115</v>
      </c>
      <c r="AI54" s="21" t="s">
        <v>322</v>
      </c>
      <c r="AJ54" s="21"/>
      <c r="AK54" s="118">
        <v>8948800</v>
      </c>
      <c r="AL54" s="118">
        <f t="shared" si="2"/>
        <v>200250463</v>
      </c>
      <c r="AM54" s="123"/>
      <c r="AN54" s="123"/>
      <c r="AO54" s="123"/>
      <c r="AP54" s="123"/>
      <c r="AQ54" s="123"/>
      <c r="AR54" s="123"/>
      <c r="AS54" s="123"/>
      <c r="AT54" s="123"/>
      <c r="AU54" s="123"/>
      <c r="AV54" s="123">
        <v>0.1</v>
      </c>
      <c r="AW54" s="124">
        <f t="shared" si="3"/>
        <v>8948800</v>
      </c>
      <c r="AX54" s="124">
        <f>IF(AK54="","",ROUND(AL54/INT(LEFT(AH54,FIND("m",AH54)-1))*50%,2))</f>
        <v>11125025.720000001</v>
      </c>
      <c r="AY54" s="124">
        <f t="shared" si="5"/>
        <v>80100185.200000003</v>
      </c>
      <c r="AZ54" s="124">
        <f t="shared" si="6"/>
        <v>20025046.300000001</v>
      </c>
      <c r="BA54" s="21" t="s">
        <v>83</v>
      </c>
      <c r="BB54" s="21"/>
      <c r="BC54" s="21"/>
      <c r="BD54" s="21"/>
      <c r="BE54" s="21"/>
      <c r="BF54" s="21"/>
      <c r="BG54" s="21"/>
      <c r="BH54" s="21"/>
      <c r="BI54" s="21"/>
      <c r="BJ54" s="21"/>
    </row>
    <row r="55" spans="1:62" ht="14" x14ac:dyDescent="0.15">
      <c r="A55" s="17">
        <v>51</v>
      </c>
      <c r="B55" s="21" t="s">
        <v>358</v>
      </c>
      <c r="C55" s="15">
        <v>233507890</v>
      </c>
      <c r="D55" s="112">
        <v>44621</v>
      </c>
      <c r="E55" s="21" t="s">
        <v>61</v>
      </c>
      <c r="F55" s="15">
        <f t="shared" si="0"/>
        <v>233507890</v>
      </c>
      <c r="G55" s="21" t="s">
        <v>62</v>
      </c>
      <c r="H55" s="15">
        <f t="shared" si="1"/>
        <v>0</v>
      </c>
      <c r="I55" s="21" t="s">
        <v>359</v>
      </c>
      <c r="J55" s="21" t="s">
        <v>64</v>
      </c>
      <c r="K55" s="21" t="s">
        <v>272</v>
      </c>
      <c r="L55" s="112">
        <v>44614</v>
      </c>
      <c r="M55" s="127">
        <v>176921</v>
      </c>
      <c r="N55" s="114">
        <v>44477</v>
      </c>
      <c r="O55" s="115" t="s">
        <v>66</v>
      </c>
      <c r="P55" s="115" t="s">
        <v>767</v>
      </c>
      <c r="Q55" s="115" t="s">
        <v>112</v>
      </c>
      <c r="R55" s="116" t="s">
        <v>360</v>
      </c>
      <c r="S55" s="115" t="s">
        <v>69</v>
      </c>
      <c r="T55" s="117">
        <v>44649</v>
      </c>
      <c r="U55" s="117"/>
      <c r="V55" s="118">
        <v>219217207</v>
      </c>
      <c r="W55" s="118">
        <f t="shared" si="4"/>
        <v>219217207</v>
      </c>
      <c r="X55" s="118" t="s">
        <v>1154</v>
      </c>
      <c r="Y55" s="118"/>
      <c r="Z55" s="118" t="s">
        <v>79</v>
      </c>
      <c r="AA55" s="118">
        <v>0</v>
      </c>
      <c r="AB55" s="119" t="s">
        <v>361</v>
      </c>
      <c r="AC55" s="120">
        <v>44673</v>
      </c>
      <c r="AD55" s="121">
        <v>901583113</v>
      </c>
      <c r="AE55" s="122" t="s">
        <v>1293</v>
      </c>
      <c r="AF55" s="126">
        <v>44698</v>
      </c>
      <c r="AG55" s="114">
        <v>44966</v>
      </c>
      <c r="AH55" s="21" t="s">
        <v>81</v>
      </c>
      <c r="AI55" s="21"/>
      <c r="AJ55" s="21"/>
      <c r="AK55" s="118">
        <v>17120811</v>
      </c>
      <c r="AL55" s="118">
        <f t="shared" si="2"/>
        <v>202096396</v>
      </c>
      <c r="AM55" s="123"/>
      <c r="AN55" s="123"/>
      <c r="AO55" s="123"/>
      <c r="AP55" s="123"/>
      <c r="AQ55" s="123"/>
      <c r="AR55" s="123"/>
      <c r="AS55" s="123"/>
      <c r="AT55" s="123"/>
      <c r="AU55" s="123"/>
      <c r="AV55" s="123">
        <v>0.1</v>
      </c>
      <c r="AW55" s="124">
        <f t="shared" si="3"/>
        <v>17120811</v>
      </c>
      <c r="AX55" s="124">
        <f>IF(AK55="","",ROUND(AL55/INT(LEFT(AH55,FIND("m",AH55)-1))*50%,0))</f>
        <v>12631025</v>
      </c>
      <c r="AY55" s="124">
        <f t="shared" si="5"/>
        <v>80838558.400000006</v>
      </c>
      <c r="AZ55" s="124">
        <f t="shared" si="6"/>
        <v>20209639.600000001</v>
      </c>
      <c r="BA55" s="21" t="s">
        <v>299</v>
      </c>
      <c r="BB55" s="21"/>
      <c r="BC55" s="21"/>
      <c r="BD55" s="21"/>
      <c r="BE55" s="21"/>
      <c r="BF55" s="21"/>
      <c r="BG55" s="21"/>
      <c r="BH55" s="21"/>
      <c r="BI55" s="21"/>
      <c r="BJ55" s="21"/>
    </row>
    <row r="56" spans="1:62" ht="14" x14ac:dyDescent="0.15">
      <c r="A56" s="17">
        <v>52</v>
      </c>
      <c r="B56" s="21" t="s">
        <v>362</v>
      </c>
      <c r="C56" s="15">
        <v>497071510</v>
      </c>
      <c r="D56" s="112">
        <v>44621</v>
      </c>
      <c r="E56" s="21" t="s">
        <v>61</v>
      </c>
      <c r="F56" s="15">
        <f t="shared" si="0"/>
        <v>497071510</v>
      </c>
      <c r="G56" s="21" t="s">
        <v>62</v>
      </c>
      <c r="H56" s="15">
        <f t="shared" si="1"/>
        <v>0</v>
      </c>
      <c r="I56" s="21" t="s">
        <v>363</v>
      </c>
      <c r="J56" s="21" t="s">
        <v>253</v>
      </c>
      <c r="K56" s="21" t="s">
        <v>272</v>
      </c>
      <c r="L56" s="112">
        <v>44614</v>
      </c>
      <c r="M56" s="127">
        <v>176921</v>
      </c>
      <c r="N56" s="114">
        <v>44477</v>
      </c>
      <c r="O56" s="115" t="s">
        <v>66</v>
      </c>
      <c r="P56" s="115" t="s">
        <v>767</v>
      </c>
      <c r="Q56" s="115" t="s">
        <v>112</v>
      </c>
      <c r="R56" s="116" t="s">
        <v>364</v>
      </c>
      <c r="S56" s="115" t="s">
        <v>69</v>
      </c>
      <c r="T56" s="117">
        <v>44648</v>
      </c>
      <c r="U56" s="117"/>
      <c r="V56" s="118">
        <v>475697437</v>
      </c>
      <c r="W56" s="118">
        <f t="shared" si="4"/>
        <v>475697437</v>
      </c>
      <c r="X56" s="118" t="s">
        <v>1154</v>
      </c>
      <c r="Y56" s="118"/>
      <c r="Z56" s="118" t="s">
        <v>70</v>
      </c>
      <c r="AA56" s="118"/>
      <c r="AB56" s="119" t="s">
        <v>365</v>
      </c>
      <c r="AC56" s="120">
        <v>44651</v>
      </c>
      <c r="AD56" s="121">
        <v>87069865</v>
      </c>
      <c r="AE56" s="122" t="s">
        <v>1268</v>
      </c>
      <c r="AF56" s="126">
        <v>44662</v>
      </c>
      <c r="AG56" s="114">
        <v>45139</v>
      </c>
      <c r="AH56" s="21" t="s">
        <v>366</v>
      </c>
      <c r="AI56" s="21" t="s">
        <v>367</v>
      </c>
      <c r="AJ56" s="21"/>
      <c r="AK56" s="118">
        <v>35885319</v>
      </c>
      <c r="AL56" s="118">
        <f t="shared" si="2"/>
        <v>439812118</v>
      </c>
      <c r="AM56" s="123"/>
      <c r="AN56" s="123"/>
      <c r="AO56" s="123"/>
      <c r="AP56" s="123"/>
      <c r="AQ56" s="123"/>
      <c r="AR56" s="123"/>
      <c r="AS56" s="123"/>
      <c r="AT56" s="123"/>
      <c r="AU56" s="123"/>
      <c r="AV56" s="123">
        <v>0.1</v>
      </c>
      <c r="AW56" s="124">
        <f t="shared" si="3"/>
        <v>35885319</v>
      </c>
      <c r="AX56" s="124">
        <f>IF(AK56="","",ROUND(AL56/INT(LEFT(AH56,FIND("m",AH56)-1))*50%,2))</f>
        <v>27488257.379999999</v>
      </c>
      <c r="AY56" s="124">
        <f t="shared" si="5"/>
        <v>175924847.19999999</v>
      </c>
      <c r="AZ56" s="124">
        <f t="shared" si="6"/>
        <v>43981211.799999997</v>
      </c>
      <c r="BA56" s="21" t="s">
        <v>83</v>
      </c>
      <c r="BB56" s="21"/>
      <c r="BC56" s="21"/>
      <c r="BD56" s="21"/>
      <c r="BE56" s="21"/>
      <c r="BF56" s="21"/>
      <c r="BG56" s="21"/>
      <c r="BH56" s="21"/>
      <c r="BI56" s="21"/>
      <c r="BJ56" s="21"/>
    </row>
    <row r="57" spans="1:62" ht="14" x14ac:dyDescent="0.15">
      <c r="A57" s="17">
        <v>53</v>
      </c>
      <c r="B57" s="21" t="s">
        <v>368</v>
      </c>
      <c r="C57" s="15">
        <v>180597580</v>
      </c>
      <c r="D57" s="112">
        <v>44621</v>
      </c>
      <c r="E57" s="21" t="s">
        <v>61</v>
      </c>
      <c r="F57" s="15">
        <f t="shared" si="0"/>
        <v>180597580</v>
      </c>
      <c r="G57" s="21" t="s">
        <v>62</v>
      </c>
      <c r="H57" s="15">
        <f t="shared" si="1"/>
        <v>0</v>
      </c>
      <c r="I57" s="21" t="s">
        <v>369</v>
      </c>
      <c r="J57" s="21" t="s">
        <v>102</v>
      </c>
      <c r="K57" s="21" t="s">
        <v>272</v>
      </c>
      <c r="L57" s="112">
        <v>44614</v>
      </c>
      <c r="M57" s="127">
        <v>176921</v>
      </c>
      <c r="N57" s="114">
        <v>44477</v>
      </c>
      <c r="O57" s="115" t="s">
        <v>66</v>
      </c>
      <c r="P57" s="115" t="s">
        <v>767</v>
      </c>
      <c r="Q57" s="115" t="s">
        <v>112</v>
      </c>
      <c r="R57" s="116" t="s">
        <v>370</v>
      </c>
      <c r="S57" s="115" t="s">
        <v>69</v>
      </c>
      <c r="T57" s="117">
        <v>44656</v>
      </c>
      <c r="U57" s="117"/>
      <c r="V57" s="118">
        <v>175179663</v>
      </c>
      <c r="W57" s="118">
        <f t="shared" si="4"/>
        <v>175179663</v>
      </c>
      <c r="X57" s="118" t="s">
        <v>1154</v>
      </c>
      <c r="Y57" s="118"/>
      <c r="Z57" s="118" t="s">
        <v>79</v>
      </c>
      <c r="AA57" s="118"/>
      <c r="AB57" s="119" t="s">
        <v>371</v>
      </c>
      <c r="AC57" s="120">
        <v>44671</v>
      </c>
      <c r="AD57" s="121">
        <v>802008390</v>
      </c>
      <c r="AE57" s="122" t="s">
        <v>1294</v>
      </c>
      <c r="AF57" s="126">
        <v>44699</v>
      </c>
      <c r="AG57" s="114">
        <v>44733</v>
      </c>
      <c r="AH57" s="21" t="s">
        <v>163</v>
      </c>
      <c r="AI57" s="21" t="s">
        <v>372</v>
      </c>
      <c r="AJ57" s="21"/>
      <c r="AK57" s="118">
        <v>20560522.5</v>
      </c>
      <c r="AL57" s="118">
        <f t="shared" si="2"/>
        <v>154619140.5</v>
      </c>
      <c r="AM57" s="123"/>
      <c r="AN57" s="123"/>
      <c r="AO57" s="123"/>
      <c r="AP57" s="123"/>
      <c r="AQ57" s="123"/>
      <c r="AR57" s="123"/>
      <c r="AS57" s="123"/>
      <c r="AT57" s="123"/>
      <c r="AU57" s="123"/>
      <c r="AV57" s="123">
        <v>0.1</v>
      </c>
      <c r="AW57" s="124">
        <f t="shared" si="3"/>
        <v>20560522.5</v>
      </c>
      <c r="AX57" s="124">
        <f t="shared" ref="AX57:AX66" si="9">IF(AK57="","",ROUND(AL57/INT(LEFT(AH57,FIND("m",AH57)-1))*50%,0))</f>
        <v>12884928</v>
      </c>
      <c r="AY57" s="124">
        <f t="shared" si="5"/>
        <v>61847656.200000003</v>
      </c>
      <c r="AZ57" s="124">
        <f t="shared" si="6"/>
        <v>15461914.050000001</v>
      </c>
      <c r="BA57" s="21" t="s">
        <v>117</v>
      </c>
      <c r="BB57" s="21"/>
      <c r="BC57" s="21"/>
      <c r="BD57" s="21"/>
      <c r="BE57" s="21"/>
      <c r="BF57" s="21"/>
      <c r="BG57" s="21"/>
      <c r="BH57" s="21"/>
      <c r="BI57" s="21"/>
      <c r="BJ57" s="21"/>
    </row>
    <row r="58" spans="1:62" ht="14" x14ac:dyDescent="0.15">
      <c r="A58" s="17">
        <v>54</v>
      </c>
      <c r="B58" s="21" t="s">
        <v>373</v>
      </c>
      <c r="C58" s="15">
        <v>299768580</v>
      </c>
      <c r="D58" s="112">
        <v>44621</v>
      </c>
      <c r="E58" s="21" t="s">
        <v>61</v>
      </c>
      <c r="F58" s="15">
        <f t="shared" si="0"/>
        <v>299768580</v>
      </c>
      <c r="G58" s="21" t="s">
        <v>62</v>
      </c>
      <c r="H58" s="15">
        <f t="shared" si="1"/>
        <v>0</v>
      </c>
      <c r="I58" s="21" t="s">
        <v>374</v>
      </c>
      <c r="J58" s="21" t="s">
        <v>136</v>
      </c>
      <c r="K58" s="21" t="s">
        <v>272</v>
      </c>
      <c r="L58" s="112">
        <v>44614</v>
      </c>
      <c r="M58" s="127">
        <v>176921</v>
      </c>
      <c r="N58" s="114">
        <v>44477</v>
      </c>
      <c r="O58" s="115" t="s">
        <v>66</v>
      </c>
      <c r="P58" s="115" t="s">
        <v>767</v>
      </c>
      <c r="Q58" s="115" t="s">
        <v>112</v>
      </c>
      <c r="R58" s="116" t="s">
        <v>375</v>
      </c>
      <c r="S58" s="115" t="s">
        <v>69</v>
      </c>
      <c r="T58" s="117">
        <v>44648</v>
      </c>
      <c r="U58" s="117"/>
      <c r="V58" s="118">
        <v>281911000</v>
      </c>
      <c r="W58" s="118">
        <f t="shared" si="4"/>
        <v>281911000</v>
      </c>
      <c r="X58" s="118" t="s">
        <v>1154</v>
      </c>
      <c r="Y58" s="118"/>
      <c r="Z58" s="118" t="s">
        <v>70</v>
      </c>
      <c r="AA58" s="118"/>
      <c r="AB58" s="119" t="s">
        <v>376</v>
      </c>
      <c r="AC58" s="120">
        <v>44669</v>
      </c>
      <c r="AD58" s="121">
        <v>901582248</v>
      </c>
      <c r="AE58" s="122" t="s">
        <v>1295</v>
      </c>
      <c r="AF58" s="126">
        <v>45087</v>
      </c>
      <c r="AG58" s="114">
        <v>45192</v>
      </c>
      <c r="AH58" s="21" t="s">
        <v>81</v>
      </c>
      <c r="AI58" s="21" t="s">
        <v>331</v>
      </c>
      <c r="AJ58" s="21"/>
      <c r="AK58" s="118">
        <v>16422000</v>
      </c>
      <c r="AL58" s="118">
        <f t="shared" si="2"/>
        <v>265489000</v>
      </c>
      <c r="AM58" s="123"/>
      <c r="AN58" s="123"/>
      <c r="AO58" s="123"/>
      <c r="AP58" s="123"/>
      <c r="AQ58" s="123"/>
      <c r="AR58" s="123"/>
      <c r="AS58" s="123"/>
      <c r="AT58" s="123"/>
      <c r="AU58" s="123"/>
      <c r="AV58" s="123">
        <v>0.1</v>
      </c>
      <c r="AW58" s="124">
        <f t="shared" si="3"/>
        <v>16422000</v>
      </c>
      <c r="AX58" s="124">
        <f t="shared" si="9"/>
        <v>16593063</v>
      </c>
      <c r="AY58" s="124">
        <f t="shared" si="5"/>
        <v>106195600</v>
      </c>
      <c r="AZ58" s="124">
        <f t="shared" si="6"/>
        <v>26548900</v>
      </c>
      <c r="BA58" s="21" t="s">
        <v>74</v>
      </c>
      <c r="BB58" s="21"/>
      <c r="BC58" s="21"/>
      <c r="BD58" s="21"/>
      <c r="BE58" s="21"/>
      <c r="BF58" s="21"/>
      <c r="BG58" s="21"/>
      <c r="BH58" s="21"/>
      <c r="BI58" s="21"/>
      <c r="BJ58" s="21"/>
    </row>
    <row r="59" spans="1:62" ht="14" x14ac:dyDescent="0.15">
      <c r="A59" s="17">
        <v>55</v>
      </c>
      <c r="B59" s="21" t="s">
        <v>377</v>
      </c>
      <c r="C59" s="15">
        <v>369101150</v>
      </c>
      <c r="D59" s="112">
        <v>44621</v>
      </c>
      <c r="E59" s="21" t="s">
        <v>61</v>
      </c>
      <c r="F59" s="15">
        <f t="shared" si="0"/>
        <v>369101150</v>
      </c>
      <c r="G59" s="21" t="s">
        <v>62</v>
      </c>
      <c r="H59" s="15">
        <f t="shared" si="1"/>
        <v>0</v>
      </c>
      <c r="I59" s="21" t="s">
        <v>378</v>
      </c>
      <c r="J59" s="21" t="s">
        <v>160</v>
      </c>
      <c r="K59" s="21" t="s">
        <v>272</v>
      </c>
      <c r="L59" s="112">
        <v>44614</v>
      </c>
      <c r="M59" s="127">
        <v>176921</v>
      </c>
      <c r="N59" s="114">
        <v>44477</v>
      </c>
      <c r="O59" s="115" t="s">
        <v>66</v>
      </c>
      <c r="P59" s="115" t="s">
        <v>767</v>
      </c>
      <c r="Q59" s="115" t="s">
        <v>379</v>
      </c>
      <c r="R59" s="116" t="s">
        <v>380</v>
      </c>
      <c r="S59" s="115" t="s">
        <v>69</v>
      </c>
      <c r="T59" s="117">
        <v>44648</v>
      </c>
      <c r="U59" s="117" t="s">
        <v>124</v>
      </c>
      <c r="V59" s="118">
        <v>0</v>
      </c>
      <c r="W59" s="118">
        <v>347468100</v>
      </c>
      <c r="X59" s="118" t="s">
        <v>125</v>
      </c>
      <c r="Y59" s="118"/>
      <c r="Z59" s="125" t="s">
        <v>179</v>
      </c>
      <c r="AA59" s="118">
        <v>347468100</v>
      </c>
      <c r="AB59" s="119" t="s">
        <v>381</v>
      </c>
      <c r="AC59" s="120">
        <v>44672</v>
      </c>
      <c r="AD59" s="121">
        <v>901581974</v>
      </c>
      <c r="AE59" s="122" t="s">
        <v>1296</v>
      </c>
      <c r="AF59" s="126"/>
      <c r="AG59" s="114"/>
      <c r="AH59" s="21" t="s">
        <v>97</v>
      </c>
      <c r="AI59" s="21"/>
      <c r="AJ59" s="21">
        <v>44761</v>
      </c>
      <c r="AK59" s="118">
        <v>20218100</v>
      </c>
      <c r="AL59" s="118">
        <f t="shared" si="2"/>
        <v>-20218100</v>
      </c>
      <c r="AM59" s="123"/>
      <c r="AN59" s="123"/>
      <c r="AO59" s="123"/>
      <c r="AP59" s="123"/>
      <c r="AQ59" s="123"/>
      <c r="AR59" s="123"/>
      <c r="AS59" s="123"/>
      <c r="AT59" s="123"/>
      <c r="AU59" s="123"/>
      <c r="AV59" s="123">
        <v>0.1</v>
      </c>
      <c r="AW59" s="124">
        <f t="shared" si="3"/>
        <v>20218100</v>
      </c>
      <c r="AX59" s="124">
        <f t="shared" si="9"/>
        <v>-1010905</v>
      </c>
      <c r="AY59" s="124">
        <f t="shared" si="5"/>
        <v>-8087240</v>
      </c>
      <c r="AZ59" s="124">
        <f t="shared" si="6"/>
        <v>-2021810</v>
      </c>
      <c r="BA59" s="21"/>
      <c r="BB59" s="21"/>
      <c r="BC59" s="21"/>
      <c r="BD59" s="21"/>
      <c r="BE59" s="21"/>
      <c r="BF59" s="21"/>
      <c r="BG59" s="21"/>
      <c r="BH59" s="21"/>
      <c r="BI59" s="21"/>
      <c r="BJ59" s="21"/>
    </row>
    <row r="60" spans="1:62" ht="14" x14ac:dyDescent="0.15">
      <c r="A60" s="17">
        <v>56</v>
      </c>
      <c r="B60" s="21" t="s">
        <v>382</v>
      </c>
      <c r="C60" s="15">
        <v>181512490</v>
      </c>
      <c r="D60" s="112">
        <v>44621</v>
      </c>
      <c r="E60" s="21" t="s">
        <v>61</v>
      </c>
      <c r="F60" s="15">
        <f t="shared" si="0"/>
        <v>181512490</v>
      </c>
      <c r="G60" s="21" t="s">
        <v>62</v>
      </c>
      <c r="H60" s="15">
        <f t="shared" si="1"/>
        <v>0</v>
      </c>
      <c r="I60" s="21" t="s">
        <v>383</v>
      </c>
      <c r="J60" s="21" t="s">
        <v>384</v>
      </c>
      <c r="K60" s="21" t="s">
        <v>385</v>
      </c>
      <c r="L60" s="112">
        <v>44617</v>
      </c>
      <c r="M60" s="127">
        <v>176921</v>
      </c>
      <c r="N60" s="114">
        <v>44477</v>
      </c>
      <c r="O60" s="115" t="s">
        <v>66</v>
      </c>
      <c r="P60" s="115" t="s">
        <v>767</v>
      </c>
      <c r="Q60" s="115" t="s">
        <v>265</v>
      </c>
      <c r="R60" s="116" t="s">
        <v>386</v>
      </c>
      <c r="S60" s="115" t="s">
        <v>69</v>
      </c>
      <c r="T60" s="117">
        <v>44651</v>
      </c>
      <c r="U60" s="117" t="s">
        <v>124</v>
      </c>
      <c r="V60" s="118">
        <v>0</v>
      </c>
      <c r="W60" s="118">
        <v>168529605</v>
      </c>
      <c r="X60" s="118" t="s">
        <v>125</v>
      </c>
      <c r="Y60" s="118"/>
      <c r="Z60" s="125" t="s">
        <v>179</v>
      </c>
      <c r="AA60" s="118">
        <v>168529605</v>
      </c>
      <c r="AB60" s="119" t="s">
        <v>387</v>
      </c>
      <c r="AC60" s="120">
        <v>44686</v>
      </c>
      <c r="AD60" s="121">
        <v>901587683</v>
      </c>
      <c r="AE60" s="122" t="s">
        <v>1297</v>
      </c>
      <c r="AF60" s="126"/>
      <c r="AG60" s="114"/>
      <c r="AH60" s="21" t="s">
        <v>81</v>
      </c>
      <c r="AI60" s="126"/>
      <c r="AJ60" s="126">
        <v>44761</v>
      </c>
      <c r="AK60" s="118">
        <v>11062004</v>
      </c>
      <c r="AL60" s="118">
        <f t="shared" si="2"/>
        <v>-11062004</v>
      </c>
      <c r="AM60" s="123"/>
      <c r="AN60" s="123"/>
      <c r="AO60" s="123"/>
      <c r="AP60" s="123"/>
      <c r="AQ60" s="123"/>
      <c r="AR60" s="123"/>
      <c r="AS60" s="123"/>
      <c r="AT60" s="123"/>
      <c r="AU60" s="123"/>
      <c r="AV60" s="123">
        <v>0.1</v>
      </c>
      <c r="AW60" s="124">
        <f t="shared" si="3"/>
        <v>11062004</v>
      </c>
      <c r="AX60" s="124">
        <f t="shared" si="9"/>
        <v>-691375</v>
      </c>
      <c r="AY60" s="124">
        <f t="shared" si="5"/>
        <v>-4424801.5999999996</v>
      </c>
      <c r="AZ60" s="124">
        <f t="shared" si="6"/>
        <v>-1106200.3999999999</v>
      </c>
      <c r="BA60" s="21"/>
      <c r="BB60" s="21"/>
      <c r="BC60" s="21"/>
      <c r="BD60" s="21"/>
      <c r="BE60" s="21"/>
      <c r="BF60" s="21"/>
      <c r="BG60" s="21"/>
      <c r="BH60" s="21"/>
      <c r="BI60" s="21"/>
      <c r="BJ60" s="21"/>
    </row>
    <row r="61" spans="1:62" ht="14" x14ac:dyDescent="0.15">
      <c r="A61" s="17">
        <v>57</v>
      </c>
      <c r="B61" s="21" t="s">
        <v>388</v>
      </c>
      <c r="C61" s="15">
        <v>177208630</v>
      </c>
      <c r="D61" s="112">
        <v>44621</v>
      </c>
      <c r="E61" s="21" t="s">
        <v>61</v>
      </c>
      <c r="F61" s="15">
        <f t="shared" si="0"/>
        <v>177208630</v>
      </c>
      <c r="G61" s="21" t="s">
        <v>62</v>
      </c>
      <c r="H61" s="15">
        <f t="shared" si="1"/>
        <v>0</v>
      </c>
      <c r="I61" s="21" t="s">
        <v>389</v>
      </c>
      <c r="J61" s="21" t="s">
        <v>223</v>
      </c>
      <c r="K61" s="21" t="s">
        <v>385</v>
      </c>
      <c r="L61" s="112">
        <v>44617</v>
      </c>
      <c r="M61" s="127">
        <v>176921</v>
      </c>
      <c r="N61" s="114">
        <v>44477</v>
      </c>
      <c r="O61" s="115" t="s">
        <v>66</v>
      </c>
      <c r="P61" s="115" t="s">
        <v>767</v>
      </c>
      <c r="Q61" s="115" t="s">
        <v>112</v>
      </c>
      <c r="R61" s="116" t="s">
        <v>390</v>
      </c>
      <c r="S61" s="115" t="s">
        <v>69</v>
      </c>
      <c r="T61" s="117">
        <v>44652</v>
      </c>
      <c r="U61" s="117"/>
      <c r="V61" s="118">
        <v>164945580</v>
      </c>
      <c r="W61" s="118">
        <f t="shared" si="4"/>
        <v>164945580</v>
      </c>
      <c r="X61" s="118" t="s">
        <v>1154</v>
      </c>
      <c r="Y61" s="118"/>
      <c r="Z61" s="118" t="s">
        <v>79</v>
      </c>
      <c r="AA61" s="118"/>
      <c r="AB61" s="119" t="s">
        <v>391</v>
      </c>
      <c r="AC61" s="120">
        <v>44679</v>
      </c>
      <c r="AD61" s="121">
        <v>901586873</v>
      </c>
      <c r="AE61" s="122" t="s">
        <v>1298</v>
      </c>
      <c r="AF61" s="126">
        <v>44715</v>
      </c>
      <c r="AG61" s="114">
        <v>45098</v>
      </c>
      <c r="AH61" s="21" t="s">
        <v>185</v>
      </c>
      <c r="AI61" s="21" t="s">
        <v>392</v>
      </c>
      <c r="AJ61" s="21"/>
      <c r="AK61" s="118">
        <v>9219655</v>
      </c>
      <c r="AL61" s="118">
        <f t="shared" si="2"/>
        <v>155725925</v>
      </c>
      <c r="AM61" s="123"/>
      <c r="AN61" s="123"/>
      <c r="AO61" s="123"/>
      <c r="AP61" s="123"/>
      <c r="AQ61" s="123"/>
      <c r="AR61" s="123"/>
      <c r="AS61" s="123"/>
      <c r="AT61" s="123"/>
      <c r="AU61" s="123"/>
      <c r="AV61" s="123">
        <v>0.1</v>
      </c>
      <c r="AW61" s="124">
        <f t="shared" si="3"/>
        <v>9219655</v>
      </c>
      <c r="AX61" s="124">
        <f>IF(AK61="","",ROUND(AL61/INT(LEFT(AH61,FIND("m",AH61)-1))*60%,0))</f>
        <v>13347936</v>
      </c>
      <c r="AY61" s="124">
        <f t="shared" si="5"/>
        <v>62290370</v>
      </c>
      <c r="AZ61" s="124">
        <v>0</v>
      </c>
      <c r="BA61" s="21" t="s">
        <v>99</v>
      </c>
      <c r="BB61" s="21"/>
      <c r="BC61" s="21"/>
      <c r="BD61" s="21"/>
      <c r="BE61" s="21"/>
      <c r="BF61" s="21"/>
      <c r="BG61" s="21"/>
      <c r="BH61" s="21"/>
      <c r="BI61" s="21"/>
      <c r="BJ61" s="21"/>
    </row>
    <row r="62" spans="1:62" ht="14" x14ac:dyDescent="0.15">
      <c r="A62" s="17">
        <v>58</v>
      </c>
      <c r="B62" s="21" t="s">
        <v>393</v>
      </c>
      <c r="C62" s="15">
        <v>427420420</v>
      </c>
      <c r="D62" s="112">
        <v>44621</v>
      </c>
      <c r="E62" s="21" t="s">
        <v>61</v>
      </c>
      <c r="F62" s="15">
        <f t="shared" si="0"/>
        <v>427420420</v>
      </c>
      <c r="G62" s="21" t="s">
        <v>62</v>
      </c>
      <c r="H62" s="15">
        <f t="shared" si="1"/>
        <v>0</v>
      </c>
      <c r="I62" s="21" t="s">
        <v>394</v>
      </c>
      <c r="J62" s="21" t="s">
        <v>395</v>
      </c>
      <c r="K62" s="21" t="s">
        <v>396</v>
      </c>
      <c r="L62" s="112">
        <v>44621</v>
      </c>
      <c r="M62" s="127">
        <v>176921</v>
      </c>
      <c r="N62" s="114">
        <v>44477</v>
      </c>
      <c r="O62" s="115" t="s">
        <v>66</v>
      </c>
      <c r="P62" s="115" t="s">
        <v>767</v>
      </c>
      <c r="Q62" s="115" t="s">
        <v>112</v>
      </c>
      <c r="R62" s="116" t="s">
        <v>397</v>
      </c>
      <c r="S62" s="115" t="s">
        <v>69</v>
      </c>
      <c r="T62" s="117">
        <v>44655</v>
      </c>
      <c r="U62" s="117" t="s">
        <v>124</v>
      </c>
      <c r="V62" s="118">
        <v>0</v>
      </c>
      <c r="W62" s="118">
        <v>420563850</v>
      </c>
      <c r="X62" s="118" t="s">
        <v>125</v>
      </c>
      <c r="Y62" s="118"/>
      <c r="Z62" s="125" t="s">
        <v>267</v>
      </c>
      <c r="AA62" s="118">
        <v>420563850</v>
      </c>
      <c r="AB62" s="119" t="s">
        <v>398</v>
      </c>
      <c r="AC62" s="120">
        <v>44673</v>
      </c>
      <c r="AD62" s="121">
        <v>901583068</v>
      </c>
      <c r="AE62" s="122" t="s">
        <v>1299</v>
      </c>
      <c r="AF62" s="126"/>
      <c r="AG62" s="114"/>
      <c r="AH62" s="21" t="s">
        <v>399</v>
      </c>
      <c r="AI62" s="21"/>
      <c r="AJ62" s="126">
        <v>44715</v>
      </c>
      <c r="AK62" s="118">
        <v>56257250</v>
      </c>
      <c r="AL62" s="118">
        <f t="shared" si="2"/>
        <v>-56257250</v>
      </c>
      <c r="AM62" s="123"/>
      <c r="AN62" s="123"/>
      <c r="AO62" s="123"/>
      <c r="AP62" s="123"/>
      <c r="AQ62" s="123"/>
      <c r="AR62" s="123"/>
      <c r="AS62" s="123"/>
      <c r="AT62" s="123"/>
      <c r="AU62" s="123"/>
      <c r="AV62" s="123">
        <v>0.1</v>
      </c>
      <c r="AW62" s="124">
        <f t="shared" si="3"/>
        <v>56257250</v>
      </c>
      <c r="AX62" s="124">
        <f t="shared" si="9"/>
        <v>-4018375</v>
      </c>
      <c r="AY62" s="124">
        <f t="shared" si="5"/>
        <v>-22502900</v>
      </c>
      <c r="AZ62" s="124">
        <f t="shared" si="6"/>
        <v>-5625725</v>
      </c>
      <c r="BA62" s="21"/>
      <c r="BB62" s="21"/>
      <c r="BC62" s="21"/>
      <c r="BD62" s="21"/>
      <c r="BE62" s="21"/>
      <c r="BF62" s="21"/>
      <c r="BG62" s="21"/>
      <c r="BH62" s="21"/>
      <c r="BI62" s="21"/>
      <c r="BJ62" s="21"/>
    </row>
    <row r="63" spans="1:62" ht="14" x14ac:dyDescent="0.15">
      <c r="A63" s="17">
        <v>59</v>
      </c>
      <c r="B63" s="21" t="s">
        <v>400</v>
      </c>
      <c r="C63" s="15">
        <v>136814730</v>
      </c>
      <c r="D63" s="112">
        <v>44624</v>
      </c>
      <c r="E63" s="21" t="s">
        <v>61</v>
      </c>
      <c r="F63" s="15">
        <f t="shared" si="0"/>
        <v>136814730</v>
      </c>
      <c r="G63" s="21" t="s">
        <v>62</v>
      </c>
      <c r="H63" s="15">
        <f t="shared" si="1"/>
        <v>0</v>
      </c>
      <c r="I63" s="21" t="s">
        <v>401</v>
      </c>
      <c r="J63" s="21" t="s">
        <v>172</v>
      </c>
      <c r="K63" s="21" t="s">
        <v>402</v>
      </c>
      <c r="L63" s="112">
        <v>44622</v>
      </c>
      <c r="M63" s="127">
        <v>176921</v>
      </c>
      <c r="N63" s="114">
        <v>44477</v>
      </c>
      <c r="O63" s="115" t="s">
        <v>66</v>
      </c>
      <c r="P63" s="115" t="s">
        <v>767</v>
      </c>
      <c r="Q63" s="115" t="s">
        <v>112</v>
      </c>
      <c r="R63" s="116" t="s">
        <v>403</v>
      </c>
      <c r="S63" s="115" t="s">
        <v>69</v>
      </c>
      <c r="T63" s="117" t="s">
        <v>123</v>
      </c>
      <c r="U63" s="117" t="s">
        <v>124</v>
      </c>
      <c r="V63" s="118">
        <v>0</v>
      </c>
      <c r="W63" s="118">
        <v>0</v>
      </c>
      <c r="X63" s="118" t="s">
        <v>125</v>
      </c>
      <c r="Y63" s="118"/>
      <c r="Z63" s="125" t="s">
        <v>126</v>
      </c>
      <c r="AA63" s="118"/>
      <c r="AB63" s="119" t="s">
        <v>127</v>
      </c>
      <c r="AC63" s="120"/>
      <c r="AD63" s="121"/>
      <c r="AE63" s="122" t="s">
        <v>1159</v>
      </c>
      <c r="AF63" s="126"/>
      <c r="AG63" s="114"/>
      <c r="AH63" s="21"/>
      <c r="AI63" s="21"/>
      <c r="AJ63" s="21"/>
      <c r="AK63" s="118"/>
      <c r="AL63" s="118" t="str">
        <f t="shared" si="2"/>
        <v/>
      </c>
      <c r="AM63" s="123"/>
      <c r="AN63" s="123"/>
      <c r="AO63" s="123"/>
      <c r="AP63" s="123"/>
      <c r="AQ63" s="123"/>
      <c r="AR63" s="123"/>
      <c r="AS63" s="123"/>
      <c r="AT63" s="123"/>
      <c r="AU63" s="123"/>
      <c r="AV63" s="123"/>
      <c r="AW63" s="124" t="str">
        <f t="shared" si="3"/>
        <v/>
      </c>
      <c r="AX63" s="124" t="str">
        <f t="shared" si="9"/>
        <v/>
      </c>
      <c r="AY63" s="124" t="str">
        <f t="shared" si="5"/>
        <v/>
      </c>
      <c r="AZ63" s="124" t="str">
        <f t="shared" si="6"/>
        <v/>
      </c>
      <c r="BA63" s="21"/>
      <c r="BB63" s="21"/>
      <c r="BC63" s="21"/>
      <c r="BD63" s="21"/>
      <c r="BE63" s="21"/>
      <c r="BF63" s="21"/>
      <c r="BG63" s="21"/>
      <c r="BH63" s="21"/>
      <c r="BI63" s="21"/>
      <c r="BJ63" s="21"/>
    </row>
    <row r="64" spans="1:62" ht="14" x14ac:dyDescent="0.15">
      <c r="A64" s="17">
        <v>60</v>
      </c>
      <c r="B64" s="21" t="s">
        <v>404</v>
      </c>
      <c r="C64" s="15">
        <v>133127550</v>
      </c>
      <c r="D64" s="112">
        <v>44624</v>
      </c>
      <c r="E64" s="21" t="s">
        <v>61</v>
      </c>
      <c r="F64" s="15">
        <f t="shared" si="0"/>
        <v>133127550</v>
      </c>
      <c r="G64" s="21" t="s">
        <v>62</v>
      </c>
      <c r="H64" s="15">
        <f t="shared" si="1"/>
        <v>0</v>
      </c>
      <c r="I64" s="21" t="s">
        <v>247</v>
      </c>
      <c r="J64" s="21" t="s">
        <v>120</v>
      </c>
      <c r="K64" s="21" t="s">
        <v>402</v>
      </c>
      <c r="L64" s="112">
        <v>44622</v>
      </c>
      <c r="M64" s="127">
        <v>176921</v>
      </c>
      <c r="N64" s="114">
        <v>44477</v>
      </c>
      <c r="O64" s="115" t="s">
        <v>66</v>
      </c>
      <c r="P64" s="115" t="s">
        <v>767</v>
      </c>
      <c r="Q64" s="115" t="s">
        <v>112</v>
      </c>
      <c r="R64" s="116" t="s">
        <v>405</v>
      </c>
      <c r="S64" s="115" t="s">
        <v>69</v>
      </c>
      <c r="T64" s="117">
        <v>44645</v>
      </c>
      <c r="U64" s="117"/>
      <c r="V64" s="118">
        <v>119814795</v>
      </c>
      <c r="W64" s="118">
        <f t="shared" si="4"/>
        <v>119814795</v>
      </c>
      <c r="X64" s="118" t="s">
        <v>1154</v>
      </c>
      <c r="Y64" s="118"/>
      <c r="Z64" s="118" t="s">
        <v>79</v>
      </c>
      <c r="AA64" s="118">
        <v>0</v>
      </c>
      <c r="AB64" s="119" t="s">
        <v>406</v>
      </c>
      <c r="AC64" s="120">
        <v>44678</v>
      </c>
      <c r="AD64" s="121">
        <v>901584450</v>
      </c>
      <c r="AE64" s="122" t="s">
        <v>1300</v>
      </c>
      <c r="AF64" s="126">
        <v>44713</v>
      </c>
      <c r="AG64" s="114">
        <v>45003</v>
      </c>
      <c r="AH64" s="21" t="s">
        <v>407</v>
      </c>
      <c r="AI64" s="21" t="s">
        <v>331</v>
      </c>
      <c r="AJ64" s="21"/>
      <c r="AK64" s="118">
        <v>8015886</v>
      </c>
      <c r="AL64" s="118">
        <f t="shared" si="2"/>
        <v>111798909</v>
      </c>
      <c r="AM64" s="123"/>
      <c r="AN64" s="123"/>
      <c r="AO64" s="123"/>
      <c r="AP64" s="123"/>
      <c r="AQ64" s="123"/>
      <c r="AR64" s="123"/>
      <c r="AS64" s="123"/>
      <c r="AT64" s="123"/>
      <c r="AU64" s="123"/>
      <c r="AV64" s="123">
        <v>0.1</v>
      </c>
      <c r="AW64" s="124">
        <f t="shared" si="3"/>
        <v>8015886</v>
      </c>
      <c r="AX64" s="124">
        <f t="shared" si="9"/>
        <v>7985636</v>
      </c>
      <c r="AY64" s="124">
        <f t="shared" si="5"/>
        <v>44719563.600000001</v>
      </c>
      <c r="AZ64" s="124">
        <f t="shared" si="6"/>
        <v>11179890.9</v>
      </c>
      <c r="BA64" s="21" t="s">
        <v>165</v>
      </c>
      <c r="BB64" s="21"/>
      <c r="BC64" s="21"/>
      <c r="BD64" s="21"/>
      <c r="BE64" s="21"/>
      <c r="BF64" s="21"/>
      <c r="BG64" s="21"/>
      <c r="BH64" s="21"/>
      <c r="BI64" s="21"/>
      <c r="BJ64" s="21"/>
    </row>
    <row r="65" spans="1:62" ht="14" x14ac:dyDescent="0.15">
      <c r="A65" s="17">
        <v>61</v>
      </c>
      <c r="B65" s="16" t="s">
        <v>408</v>
      </c>
      <c r="C65" s="15">
        <v>252561170</v>
      </c>
      <c r="D65" s="112">
        <v>44628</v>
      </c>
      <c r="E65" s="21" t="s">
        <v>61</v>
      </c>
      <c r="F65" s="15">
        <f t="shared" si="0"/>
        <v>252561170</v>
      </c>
      <c r="G65" s="21" t="s">
        <v>62</v>
      </c>
      <c r="H65" s="15">
        <f t="shared" si="1"/>
        <v>0</v>
      </c>
      <c r="I65" s="21" t="s">
        <v>409</v>
      </c>
      <c r="J65" s="21" t="s">
        <v>136</v>
      </c>
      <c r="K65" s="21" t="s">
        <v>410</v>
      </c>
      <c r="L65" s="112">
        <v>44624</v>
      </c>
      <c r="M65" s="127">
        <v>188021</v>
      </c>
      <c r="N65" s="114">
        <v>44550</v>
      </c>
      <c r="O65" s="115" t="s">
        <v>66</v>
      </c>
      <c r="P65" s="115" t="s">
        <v>767</v>
      </c>
      <c r="Q65" s="115" t="s">
        <v>112</v>
      </c>
      <c r="R65" s="116" t="s">
        <v>411</v>
      </c>
      <c r="S65" s="115" t="s">
        <v>69</v>
      </c>
      <c r="T65" s="117">
        <v>44651</v>
      </c>
      <c r="U65" s="117"/>
      <c r="V65" s="118">
        <v>236111976</v>
      </c>
      <c r="W65" s="118">
        <f t="shared" si="4"/>
        <v>236111976</v>
      </c>
      <c r="X65" s="118" t="s">
        <v>1154</v>
      </c>
      <c r="Y65" s="118"/>
      <c r="Z65" s="118" t="s">
        <v>79</v>
      </c>
      <c r="AA65" s="118">
        <v>221709495</v>
      </c>
      <c r="AB65" s="119" t="s">
        <v>412</v>
      </c>
      <c r="AC65" s="120">
        <v>44662</v>
      </c>
      <c r="AD65" s="121">
        <v>816001576</v>
      </c>
      <c r="AE65" s="122" t="s">
        <v>1301</v>
      </c>
      <c r="AF65" s="126">
        <v>44753</v>
      </c>
      <c r="AG65" s="114">
        <v>45040</v>
      </c>
      <c r="AH65" s="21" t="s">
        <v>81</v>
      </c>
      <c r="AI65" s="21" t="s">
        <v>202</v>
      </c>
      <c r="AJ65" s="21"/>
      <c r="AK65" s="118">
        <v>14402481</v>
      </c>
      <c r="AL65" s="118">
        <f t="shared" si="2"/>
        <v>221709495</v>
      </c>
      <c r="AM65" s="123"/>
      <c r="AN65" s="123"/>
      <c r="AO65" s="123"/>
      <c r="AP65" s="123"/>
      <c r="AQ65" s="123"/>
      <c r="AR65" s="123"/>
      <c r="AS65" s="123"/>
      <c r="AT65" s="123"/>
      <c r="AU65" s="123"/>
      <c r="AV65" s="123">
        <v>0.1</v>
      </c>
      <c r="AW65" s="124">
        <f t="shared" si="3"/>
        <v>14402481</v>
      </c>
      <c r="AX65" s="124">
        <f t="shared" si="9"/>
        <v>13856843</v>
      </c>
      <c r="AY65" s="124">
        <f t="shared" si="5"/>
        <v>88683798</v>
      </c>
      <c r="AZ65" s="124">
        <f t="shared" si="6"/>
        <v>22170949.5</v>
      </c>
      <c r="BA65" s="21" t="s">
        <v>299</v>
      </c>
      <c r="BB65" s="21"/>
      <c r="BC65" s="21"/>
      <c r="BD65" s="21"/>
      <c r="BE65" s="21"/>
      <c r="BF65" s="21"/>
      <c r="BG65" s="21"/>
      <c r="BH65" s="21"/>
      <c r="BI65" s="21"/>
      <c r="BJ65" s="21"/>
    </row>
    <row r="66" spans="1:62" ht="14" x14ac:dyDescent="0.15">
      <c r="A66" s="17">
        <v>62</v>
      </c>
      <c r="B66" s="16" t="s">
        <v>413</v>
      </c>
      <c r="C66" s="15">
        <v>178860700</v>
      </c>
      <c r="D66" s="112">
        <v>44628</v>
      </c>
      <c r="E66" s="21" t="s">
        <v>61</v>
      </c>
      <c r="F66" s="15">
        <f t="shared" si="0"/>
        <v>178860700</v>
      </c>
      <c r="G66" s="21" t="s">
        <v>62</v>
      </c>
      <c r="H66" s="15">
        <f t="shared" si="1"/>
        <v>0</v>
      </c>
      <c r="I66" s="21" t="s">
        <v>344</v>
      </c>
      <c r="J66" s="21" t="s">
        <v>345</v>
      </c>
      <c r="K66" s="21" t="s">
        <v>410</v>
      </c>
      <c r="L66" s="112">
        <v>44624</v>
      </c>
      <c r="M66" s="127">
        <v>188021</v>
      </c>
      <c r="N66" s="114">
        <v>44550</v>
      </c>
      <c r="O66" s="115" t="s">
        <v>66</v>
      </c>
      <c r="P66" s="115" t="s">
        <v>767</v>
      </c>
      <c r="Q66" s="115" t="s">
        <v>112</v>
      </c>
      <c r="R66" s="116" t="s">
        <v>414</v>
      </c>
      <c r="S66" s="115" t="s">
        <v>69</v>
      </c>
      <c r="T66" s="117" t="s">
        <v>123</v>
      </c>
      <c r="U66" s="117" t="s">
        <v>124</v>
      </c>
      <c r="V66" s="118">
        <v>0</v>
      </c>
      <c r="W66" s="118">
        <v>0</v>
      </c>
      <c r="X66" s="118" t="s">
        <v>125</v>
      </c>
      <c r="Y66" s="118"/>
      <c r="Z66" s="125" t="s">
        <v>126</v>
      </c>
      <c r="AA66" s="118"/>
      <c r="AB66" s="119" t="s">
        <v>127</v>
      </c>
      <c r="AC66" s="120"/>
      <c r="AD66" s="121"/>
      <c r="AE66" s="122" t="s">
        <v>1159</v>
      </c>
      <c r="AF66" s="126"/>
      <c r="AG66" s="114"/>
      <c r="AH66" s="21"/>
      <c r="AI66" s="21"/>
      <c r="AJ66" s="21"/>
      <c r="AK66" s="118"/>
      <c r="AL66" s="118" t="str">
        <f t="shared" si="2"/>
        <v/>
      </c>
      <c r="AM66" s="123"/>
      <c r="AN66" s="123"/>
      <c r="AO66" s="123"/>
      <c r="AP66" s="123"/>
      <c r="AQ66" s="123"/>
      <c r="AR66" s="123"/>
      <c r="AS66" s="123"/>
      <c r="AT66" s="123"/>
      <c r="AU66" s="123"/>
      <c r="AV66" s="123"/>
      <c r="AW66" s="124" t="str">
        <f t="shared" si="3"/>
        <v/>
      </c>
      <c r="AX66" s="124" t="str">
        <f t="shared" si="9"/>
        <v/>
      </c>
      <c r="AY66" s="124" t="str">
        <f t="shared" si="5"/>
        <v/>
      </c>
      <c r="AZ66" s="124" t="str">
        <f t="shared" si="6"/>
        <v/>
      </c>
      <c r="BA66" s="21"/>
      <c r="BB66" s="21"/>
      <c r="BC66" s="21"/>
      <c r="BD66" s="21"/>
      <c r="BE66" s="21"/>
      <c r="BF66" s="21"/>
      <c r="BG66" s="21"/>
      <c r="BH66" s="21"/>
      <c r="BI66" s="21"/>
      <c r="BJ66" s="21"/>
    </row>
    <row r="67" spans="1:62" ht="14" x14ac:dyDescent="0.15">
      <c r="A67" s="17">
        <v>63</v>
      </c>
      <c r="B67" s="16" t="s">
        <v>415</v>
      </c>
      <c r="C67" s="15">
        <v>311431700</v>
      </c>
      <c r="D67" s="112">
        <v>44635</v>
      </c>
      <c r="E67" s="21" t="s">
        <v>61</v>
      </c>
      <c r="F67" s="15">
        <f t="shared" si="0"/>
        <v>311431700</v>
      </c>
      <c r="G67" s="21" t="s">
        <v>62</v>
      </c>
      <c r="H67" s="15">
        <f t="shared" si="1"/>
        <v>0</v>
      </c>
      <c r="I67" s="21" t="s">
        <v>416</v>
      </c>
      <c r="J67" s="21" t="s">
        <v>417</v>
      </c>
      <c r="K67" s="21" t="s">
        <v>418</v>
      </c>
      <c r="L67" s="112">
        <v>44628</v>
      </c>
      <c r="M67" s="113">
        <v>188421</v>
      </c>
      <c r="N67" s="114">
        <v>44550</v>
      </c>
      <c r="O67" s="115" t="s">
        <v>66</v>
      </c>
      <c r="P67" s="115" t="s">
        <v>767</v>
      </c>
      <c r="Q67" s="115" t="s">
        <v>112</v>
      </c>
      <c r="R67" s="116" t="s">
        <v>419</v>
      </c>
      <c r="S67" s="115" t="s">
        <v>69</v>
      </c>
      <c r="T67" s="117">
        <v>44652</v>
      </c>
      <c r="U67" s="117"/>
      <c r="V67" s="118">
        <v>288624504</v>
      </c>
      <c r="W67" s="118">
        <f t="shared" si="4"/>
        <v>288624504</v>
      </c>
      <c r="X67" s="118" t="s">
        <v>1352</v>
      </c>
      <c r="Y67" s="118"/>
      <c r="Z67" s="118" t="s">
        <v>70</v>
      </c>
      <c r="AA67" s="118"/>
      <c r="AB67" s="119" t="s">
        <v>420</v>
      </c>
      <c r="AC67" s="120">
        <v>44657</v>
      </c>
      <c r="AD67" s="121">
        <v>890115120</v>
      </c>
      <c r="AE67" s="122" t="s">
        <v>1271</v>
      </c>
      <c r="AF67" s="128">
        <v>44671</v>
      </c>
      <c r="AG67" s="114">
        <v>44988</v>
      </c>
      <c r="AH67" s="21" t="s">
        <v>163</v>
      </c>
      <c r="AI67" s="21" t="s">
        <v>421</v>
      </c>
      <c r="AJ67" s="21"/>
      <c r="AK67" s="118">
        <v>37864134</v>
      </c>
      <c r="AL67" s="118">
        <f t="shared" si="2"/>
        <v>250760370</v>
      </c>
      <c r="AM67" s="123"/>
      <c r="AN67" s="123"/>
      <c r="AO67" s="123"/>
      <c r="AP67" s="123"/>
      <c r="AQ67" s="123"/>
      <c r="AR67" s="123"/>
      <c r="AS67" s="123"/>
      <c r="AT67" s="123"/>
      <c r="AU67" s="123"/>
      <c r="AV67" s="123">
        <v>0.1</v>
      </c>
      <c r="AW67" s="124">
        <f t="shared" si="3"/>
        <v>37864134</v>
      </c>
      <c r="AX67" s="124">
        <f>IF(AK67="","",ROUND(AL67*50%/6,0))</f>
        <v>20896698</v>
      </c>
      <c r="AY67" s="124">
        <f t="shared" si="5"/>
        <v>100304148</v>
      </c>
      <c r="AZ67" s="124">
        <f t="shared" si="6"/>
        <v>25076037</v>
      </c>
      <c r="BA67" s="21" t="s">
        <v>108</v>
      </c>
      <c r="BB67" s="21"/>
      <c r="BC67" s="21"/>
      <c r="BD67" s="21"/>
      <c r="BE67" s="21"/>
      <c r="BF67" s="21"/>
      <c r="BG67" s="21"/>
      <c r="BH67" s="21"/>
      <c r="BI67" s="21"/>
      <c r="BJ67" s="21"/>
    </row>
    <row r="68" spans="1:62" ht="14" x14ac:dyDescent="0.15">
      <c r="A68" s="17">
        <v>64</v>
      </c>
      <c r="B68" s="16" t="s">
        <v>422</v>
      </c>
      <c r="C68" s="15">
        <v>178687530</v>
      </c>
      <c r="D68" s="112">
        <v>44635</v>
      </c>
      <c r="E68" s="21" t="s">
        <v>61</v>
      </c>
      <c r="F68" s="15">
        <f t="shared" si="0"/>
        <v>178687530</v>
      </c>
      <c r="G68" s="21" t="s">
        <v>62</v>
      </c>
      <c r="H68" s="15">
        <f t="shared" si="1"/>
        <v>0</v>
      </c>
      <c r="I68" s="21" t="s">
        <v>294</v>
      </c>
      <c r="J68" s="21" t="s">
        <v>295</v>
      </c>
      <c r="K68" s="21" t="s">
        <v>418</v>
      </c>
      <c r="L68" s="112">
        <v>44628</v>
      </c>
      <c r="M68" s="127">
        <v>188021</v>
      </c>
      <c r="N68" s="114">
        <v>44550</v>
      </c>
      <c r="O68" s="115" t="s">
        <v>66</v>
      </c>
      <c r="P68" s="115" t="s">
        <v>767</v>
      </c>
      <c r="Q68" s="115" t="s">
        <v>112</v>
      </c>
      <c r="R68" s="116" t="s">
        <v>423</v>
      </c>
      <c r="S68" s="115" t="s">
        <v>69</v>
      </c>
      <c r="T68" s="117">
        <v>44652</v>
      </c>
      <c r="U68" s="117"/>
      <c r="V68" s="118">
        <v>169663810</v>
      </c>
      <c r="W68" s="118">
        <f t="shared" si="4"/>
        <v>169663810</v>
      </c>
      <c r="X68" s="118" t="s">
        <v>1154</v>
      </c>
      <c r="Y68" s="118"/>
      <c r="Z68" s="118" t="s">
        <v>79</v>
      </c>
      <c r="AA68" s="118">
        <v>0</v>
      </c>
      <c r="AB68" s="119" t="s">
        <v>424</v>
      </c>
      <c r="AC68" s="120">
        <v>44669</v>
      </c>
      <c r="AD68" s="121">
        <v>79557205</v>
      </c>
      <c r="AE68" s="122" t="s">
        <v>1302</v>
      </c>
      <c r="AF68" s="117">
        <v>44701</v>
      </c>
      <c r="AG68" s="114">
        <v>44961</v>
      </c>
      <c r="AH68" s="21" t="s">
        <v>185</v>
      </c>
      <c r="AI68" s="21" t="s">
        <v>425</v>
      </c>
      <c r="AJ68" s="21"/>
      <c r="AK68" s="118">
        <v>11944444</v>
      </c>
      <c r="AL68" s="118">
        <f t="shared" si="2"/>
        <v>157719366</v>
      </c>
      <c r="AM68" s="123"/>
      <c r="AN68" s="123"/>
      <c r="AO68" s="123"/>
      <c r="AP68" s="123"/>
      <c r="AQ68" s="123"/>
      <c r="AR68" s="123"/>
      <c r="AS68" s="123"/>
      <c r="AT68" s="123"/>
      <c r="AU68" s="123"/>
      <c r="AV68" s="123">
        <v>0.1</v>
      </c>
      <c r="AW68" s="124">
        <f t="shared" si="3"/>
        <v>11944444</v>
      </c>
      <c r="AX68" s="124">
        <f>IF(AK68="","",ROUND((AL68+AL99)/7*50%,0))</f>
        <v>11802129</v>
      </c>
      <c r="AY68" s="124">
        <f t="shared" si="5"/>
        <v>63087746.399999999</v>
      </c>
      <c r="AZ68" s="124">
        <f t="shared" si="6"/>
        <v>15771936.6</v>
      </c>
      <c r="BA68" s="21" t="s">
        <v>299</v>
      </c>
      <c r="BB68" s="21"/>
      <c r="BC68" s="21"/>
      <c r="BD68" s="21"/>
      <c r="BE68" s="21"/>
      <c r="BF68" s="21"/>
      <c r="BG68" s="21"/>
      <c r="BH68" s="21"/>
      <c r="BI68" s="21"/>
      <c r="BJ68" s="21"/>
    </row>
    <row r="69" spans="1:62" ht="14" x14ac:dyDescent="0.15">
      <c r="A69" s="17">
        <v>65</v>
      </c>
      <c r="B69" s="16" t="s">
        <v>426</v>
      </c>
      <c r="C69" s="15">
        <v>273159560</v>
      </c>
      <c r="D69" s="112">
        <v>44635</v>
      </c>
      <c r="E69" s="21" t="s">
        <v>61</v>
      </c>
      <c r="F69" s="15">
        <f t="shared" ref="F69:F97" si="10">C69</f>
        <v>273159560</v>
      </c>
      <c r="G69" s="21" t="s">
        <v>62</v>
      </c>
      <c r="H69" s="15">
        <f t="shared" ref="H69:H96" si="11">C69-F69</f>
        <v>0</v>
      </c>
      <c r="I69" s="21" t="s">
        <v>136</v>
      </c>
      <c r="J69" s="21" t="s">
        <v>345</v>
      </c>
      <c r="K69" s="21" t="s">
        <v>427</v>
      </c>
      <c r="L69" s="112">
        <v>44628</v>
      </c>
      <c r="M69" s="127">
        <v>188021</v>
      </c>
      <c r="N69" s="114">
        <v>44550</v>
      </c>
      <c r="O69" s="115" t="s">
        <v>66</v>
      </c>
      <c r="P69" s="115" t="s">
        <v>767</v>
      </c>
      <c r="Q69" s="115" t="s">
        <v>112</v>
      </c>
      <c r="R69" s="116" t="s">
        <v>428</v>
      </c>
      <c r="S69" s="115" t="s">
        <v>69</v>
      </c>
      <c r="T69" s="117" t="s">
        <v>429</v>
      </c>
      <c r="U69" s="117" t="s">
        <v>124</v>
      </c>
      <c r="V69" s="118">
        <v>0</v>
      </c>
      <c r="W69" s="118">
        <f t="shared" si="4"/>
        <v>0</v>
      </c>
      <c r="X69" s="118" t="s">
        <v>125</v>
      </c>
      <c r="Y69" s="118"/>
      <c r="Z69" s="118" t="s">
        <v>143</v>
      </c>
      <c r="AA69" s="118"/>
      <c r="AB69" s="132" t="s">
        <v>125</v>
      </c>
      <c r="AC69" s="120"/>
      <c r="AD69" s="121"/>
      <c r="AE69" s="122" t="s">
        <v>1159</v>
      </c>
      <c r="AF69" s="126"/>
      <c r="AG69" s="114"/>
      <c r="AH69" s="21"/>
      <c r="AI69" s="21"/>
      <c r="AJ69" s="21"/>
      <c r="AK69" s="118"/>
      <c r="AL69" s="118" t="str">
        <f t="shared" ref="AL69:AL96" si="12">IF(AK69="","",V69-AK69)</f>
        <v/>
      </c>
      <c r="AM69" s="123"/>
      <c r="AN69" s="123"/>
      <c r="AO69" s="123"/>
      <c r="AP69" s="123"/>
      <c r="AQ69" s="123"/>
      <c r="AR69" s="123"/>
      <c r="AS69" s="123"/>
      <c r="AT69" s="123"/>
      <c r="AU69" s="123"/>
      <c r="AV69" s="123"/>
      <c r="AW69" s="124" t="str">
        <f t="shared" ref="AW69:AW80" si="13">IF(AK69="","",AK69)</f>
        <v/>
      </c>
      <c r="AX69" s="124" t="str">
        <f>IF(AK69="","",ROUND(AL69/INT(LEFT(AH69,FIND("m",AH69)-1))*50%,0))</f>
        <v/>
      </c>
      <c r="AY69" s="124" t="str">
        <f t="shared" si="5"/>
        <v/>
      </c>
      <c r="AZ69" s="124" t="str">
        <f t="shared" si="6"/>
        <v/>
      </c>
      <c r="BA69" s="21"/>
      <c r="BB69" s="21"/>
      <c r="BC69" s="21"/>
      <c r="BD69" s="21"/>
      <c r="BE69" s="21"/>
      <c r="BF69" s="21"/>
      <c r="BG69" s="21"/>
      <c r="BH69" s="21"/>
      <c r="BI69" s="21"/>
      <c r="BJ69" s="21"/>
    </row>
    <row r="70" spans="1:62" ht="14" x14ac:dyDescent="0.15">
      <c r="A70" s="17">
        <v>66</v>
      </c>
      <c r="B70" s="16" t="s">
        <v>430</v>
      </c>
      <c r="C70" s="15">
        <v>254734400</v>
      </c>
      <c r="D70" s="112">
        <v>44635</v>
      </c>
      <c r="E70" s="21" t="s">
        <v>61</v>
      </c>
      <c r="F70" s="15">
        <f t="shared" si="10"/>
        <v>254734400</v>
      </c>
      <c r="G70" s="21" t="s">
        <v>62</v>
      </c>
      <c r="H70" s="15">
        <f t="shared" si="11"/>
        <v>0</v>
      </c>
      <c r="I70" s="21" t="s">
        <v>431</v>
      </c>
      <c r="J70" s="21" t="s">
        <v>160</v>
      </c>
      <c r="K70" s="21" t="s">
        <v>427</v>
      </c>
      <c r="L70" s="112">
        <v>44628</v>
      </c>
      <c r="M70" s="127">
        <v>188021</v>
      </c>
      <c r="N70" s="114">
        <v>44550</v>
      </c>
      <c r="O70" s="115" t="s">
        <v>66</v>
      </c>
      <c r="P70" s="115" t="s">
        <v>767</v>
      </c>
      <c r="Q70" s="115" t="s">
        <v>112</v>
      </c>
      <c r="R70" s="116" t="s">
        <v>432</v>
      </c>
      <c r="S70" s="115" t="s">
        <v>69</v>
      </c>
      <c r="T70" s="117">
        <v>44656</v>
      </c>
      <c r="U70" s="117"/>
      <c r="V70" s="118">
        <v>237842962</v>
      </c>
      <c r="W70" s="118">
        <f t="shared" ref="W70:W94" si="14">+V70</f>
        <v>237842962</v>
      </c>
      <c r="X70" s="118" t="s">
        <v>1154</v>
      </c>
      <c r="Y70" s="118"/>
      <c r="Z70" s="118" t="s">
        <v>79</v>
      </c>
      <c r="AA70" s="118">
        <v>0</v>
      </c>
      <c r="AB70" s="119" t="s">
        <v>433</v>
      </c>
      <c r="AC70" s="120">
        <v>44659</v>
      </c>
      <c r="AD70" s="121">
        <v>8746699</v>
      </c>
      <c r="AE70" s="122" t="s">
        <v>1282</v>
      </c>
      <c r="AF70" s="117">
        <v>44707</v>
      </c>
      <c r="AG70" s="114">
        <v>45023</v>
      </c>
      <c r="AH70" s="21" t="s">
        <v>185</v>
      </c>
      <c r="AI70" s="21" t="s">
        <v>434</v>
      </c>
      <c r="AJ70" s="21"/>
      <c r="AK70" s="118">
        <v>17243751</v>
      </c>
      <c r="AL70" s="118">
        <f t="shared" si="12"/>
        <v>220599211</v>
      </c>
      <c r="AM70" s="123"/>
      <c r="AN70" s="123"/>
      <c r="AO70" s="123"/>
      <c r="AP70" s="123"/>
      <c r="AQ70" s="123"/>
      <c r="AR70" s="123"/>
      <c r="AS70" s="123"/>
      <c r="AT70" s="123"/>
      <c r="AU70" s="123"/>
      <c r="AV70" s="123">
        <v>0.1</v>
      </c>
      <c r="AW70" s="124">
        <f t="shared" si="13"/>
        <v>17243751</v>
      </c>
      <c r="AX70" s="124">
        <f>IF(AK70="","",ROUND(AL70/INT(LEFT(AH70,FIND("m",AH70)-1))*50%,0))</f>
        <v>15757087</v>
      </c>
      <c r="AY70" s="124">
        <f t="shared" si="5"/>
        <v>88239684.400000006</v>
      </c>
      <c r="AZ70" s="124">
        <f t="shared" si="6"/>
        <v>22059921.100000001</v>
      </c>
      <c r="BA70" s="21" t="s">
        <v>117</v>
      </c>
      <c r="BB70" s="21"/>
      <c r="BC70" s="21"/>
      <c r="BD70" s="21"/>
      <c r="BE70" s="21"/>
      <c r="BF70" s="21"/>
      <c r="BG70" s="21"/>
      <c r="BH70" s="21"/>
      <c r="BI70" s="21"/>
      <c r="BJ70" s="21"/>
    </row>
    <row r="71" spans="1:62" ht="15" customHeight="1" x14ac:dyDescent="0.15">
      <c r="A71" s="17">
        <v>67</v>
      </c>
      <c r="B71" s="16" t="s">
        <v>435</v>
      </c>
      <c r="C71" s="15">
        <v>94247240</v>
      </c>
      <c r="D71" s="112">
        <v>44635</v>
      </c>
      <c r="E71" s="21" t="s">
        <v>61</v>
      </c>
      <c r="F71" s="15">
        <f t="shared" si="10"/>
        <v>94247240</v>
      </c>
      <c r="G71" s="21" t="s">
        <v>62</v>
      </c>
      <c r="H71" s="15">
        <f t="shared" si="11"/>
        <v>0</v>
      </c>
      <c r="I71" s="21" t="s">
        <v>436</v>
      </c>
      <c r="J71" s="21" t="s">
        <v>437</v>
      </c>
      <c r="K71" s="21" t="s">
        <v>427</v>
      </c>
      <c r="L71" s="112">
        <v>44628</v>
      </c>
      <c r="M71" s="127">
        <v>188021</v>
      </c>
      <c r="N71" s="114">
        <v>44550</v>
      </c>
      <c r="O71" s="115" t="s">
        <v>66</v>
      </c>
      <c r="P71" s="115" t="s">
        <v>767</v>
      </c>
      <c r="Q71" s="115" t="s">
        <v>112</v>
      </c>
      <c r="R71" s="116" t="s">
        <v>438</v>
      </c>
      <c r="S71" s="115" t="s">
        <v>69</v>
      </c>
      <c r="T71" s="117">
        <v>44656</v>
      </c>
      <c r="U71" s="117"/>
      <c r="V71" s="118">
        <v>89252136</v>
      </c>
      <c r="W71" s="118">
        <f t="shared" si="14"/>
        <v>89252136</v>
      </c>
      <c r="X71" s="118" t="s">
        <v>1154</v>
      </c>
      <c r="Y71" s="118"/>
      <c r="Z71" s="118" t="s">
        <v>79</v>
      </c>
      <c r="AA71" s="118">
        <v>0</v>
      </c>
      <c r="AB71" s="119" t="s">
        <v>439</v>
      </c>
      <c r="AC71" s="120">
        <v>44680</v>
      </c>
      <c r="AD71" s="121">
        <v>900779202</v>
      </c>
      <c r="AE71" s="122" t="s">
        <v>1303</v>
      </c>
      <c r="AF71" s="126">
        <v>44707</v>
      </c>
      <c r="AG71" s="114">
        <v>44887</v>
      </c>
      <c r="AH71" s="21" t="s">
        <v>440</v>
      </c>
      <c r="AI71" s="21" t="s">
        <v>441</v>
      </c>
      <c r="AJ71" s="21"/>
      <c r="AK71" s="118">
        <v>7333331</v>
      </c>
      <c r="AL71" s="118">
        <f t="shared" si="12"/>
        <v>81918805</v>
      </c>
      <c r="AM71" s="123"/>
      <c r="AN71" s="123"/>
      <c r="AO71" s="123"/>
      <c r="AP71" s="123"/>
      <c r="AQ71" s="123"/>
      <c r="AR71" s="123"/>
      <c r="AS71" s="123"/>
      <c r="AT71" s="123"/>
      <c r="AU71" s="123"/>
      <c r="AV71" s="123">
        <v>0.1</v>
      </c>
      <c r="AW71" s="124">
        <f t="shared" si="13"/>
        <v>7333331</v>
      </c>
      <c r="AX71" s="124">
        <f>IF(AK71="","",ROUND(AL71/INT(LEFT(AH71,FIND("m",AH71)-1))*50%,2))</f>
        <v>8191880.5</v>
      </c>
      <c r="AY71" s="124">
        <f t="shared" ref="AY71:AY80" si="15">IF(AK71="","",ROUND(AL71*40%,2))</f>
        <v>32767522</v>
      </c>
      <c r="AZ71" s="124">
        <f t="shared" ref="AZ71:AZ80" si="16">IF(AK71="","",ROUND(AL71*10%,2))</f>
        <v>8191880.5</v>
      </c>
      <c r="BA71" s="21" t="s">
        <v>299</v>
      </c>
      <c r="BB71" s="21"/>
      <c r="BC71" s="21"/>
      <c r="BD71" s="21"/>
      <c r="BE71" s="21"/>
      <c r="BF71" s="21"/>
      <c r="BG71" s="21"/>
      <c r="BH71" s="21"/>
      <c r="BI71" s="21"/>
      <c r="BJ71" s="21"/>
    </row>
    <row r="72" spans="1:62" ht="15" customHeight="1" x14ac:dyDescent="0.15">
      <c r="A72" s="17">
        <v>68</v>
      </c>
      <c r="B72" s="16" t="s">
        <v>442</v>
      </c>
      <c r="C72" s="15">
        <v>320383020</v>
      </c>
      <c r="D72" s="112">
        <v>44642</v>
      </c>
      <c r="E72" s="21" t="s">
        <v>61</v>
      </c>
      <c r="F72" s="15">
        <f t="shared" si="10"/>
        <v>320383020</v>
      </c>
      <c r="G72" s="21" t="s">
        <v>62</v>
      </c>
      <c r="H72" s="15">
        <f t="shared" si="11"/>
        <v>0</v>
      </c>
      <c r="I72" s="21" t="s">
        <v>443</v>
      </c>
      <c r="J72" s="21" t="s">
        <v>64</v>
      </c>
      <c r="K72" s="21" t="s">
        <v>444</v>
      </c>
      <c r="L72" s="112">
        <v>44642</v>
      </c>
      <c r="M72" s="127">
        <v>188021</v>
      </c>
      <c r="N72" s="114">
        <v>44550</v>
      </c>
      <c r="O72" s="115" t="s">
        <v>66</v>
      </c>
      <c r="P72" s="115" t="s">
        <v>767</v>
      </c>
      <c r="Q72" s="115" t="s">
        <v>112</v>
      </c>
      <c r="R72" s="116" t="s">
        <v>445</v>
      </c>
      <c r="S72" s="115" t="s">
        <v>69</v>
      </c>
      <c r="T72" s="117">
        <v>44671</v>
      </c>
      <c r="U72" s="117"/>
      <c r="V72" s="118">
        <v>303723101</v>
      </c>
      <c r="W72" s="118">
        <f t="shared" si="14"/>
        <v>303723101</v>
      </c>
      <c r="X72" s="118" t="s">
        <v>1154</v>
      </c>
      <c r="Y72" s="118"/>
      <c r="Z72" s="118" t="s">
        <v>70</v>
      </c>
      <c r="AA72" s="118"/>
      <c r="AB72" s="119" t="s">
        <v>446</v>
      </c>
      <c r="AC72" s="120">
        <v>44684</v>
      </c>
      <c r="AD72" s="121">
        <v>811036279</v>
      </c>
      <c r="AE72" s="122" t="s">
        <v>1284</v>
      </c>
      <c r="AF72" s="126">
        <v>44774</v>
      </c>
      <c r="AG72" s="114">
        <v>45098</v>
      </c>
      <c r="AH72" s="21" t="s">
        <v>81</v>
      </c>
      <c r="AI72" s="21" t="s">
        <v>447</v>
      </c>
      <c r="AJ72" s="21"/>
      <c r="AK72" s="118">
        <v>18162295</v>
      </c>
      <c r="AL72" s="118">
        <f t="shared" si="12"/>
        <v>285560806</v>
      </c>
      <c r="AM72" s="123"/>
      <c r="AN72" s="123"/>
      <c r="AO72" s="123"/>
      <c r="AP72" s="123"/>
      <c r="AQ72" s="123"/>
      <c r="AR72" s="123"/>
      <c r="AS72" s="123"/>
      <c r="AT72" s="123"/>
      <c r="AU72" s="123"/>
      <c r="AV72" s="123">
        <v>0.1</v>
      </c>
      <c r="AW72" s="124">
        <f t="shared" si="13"/>
        <v>18162295</v>
      </c>
      <c r="AX72" s="124">
        <f>IF(AK72="","",ROUND(AL72/INT(LEFT(AH72,FIND("m",AH72)-1))*50%,0))</f>
        <v>17847550</v>
      </c>
      <c r="AY72" s="124">
        <f t="shared" si="15"/>
        <v>114224322.40000001</v>
      </c>
      <c r="AZ72" s="124">
        <f t="shared" si="16"/>
        <v>28556080.600000001</v>
      </c>
      <c r="BA72" s="21" t="s">
        <v>299</v>
      </c>
      <c r="BB72" s="21"/>
      <c r="BC72" s="21"/>
      <c r="BD72" s="21"/>
      <c r="BE72" s="21"/>
      <c r="BF72" s="21"/>
      <c r="BG72" s="21"/>
      <c r="BH72" s="21"/>
      <c r="BI72" s="21"/>
      <c r="BJ72" s="21"/>
    </row>
    <row r="73" spans="1:62" ht="14" x14ac:dyDescent="0.15">
      <c r="A73" s="17">
        <v>69</v>
      </c>
      <c r="B73" s="16" t="s">
        <v>448</v>
      </c>
      <c r="C73" s="15">
        <v>86466380</v>
      </c>
      <c r="D73" s="112">
        <v>44671</v>
      </c>
      <c r="E73" s="21" t="s">
        <v>85</v>
      </c>
      <c r="F73" s="15">
        <f t="shared" si="10"/>
        <v>86466380</v>
      </c>
      <c r="G73" s="21" t="s">
        <v>62</v>
      </c>
      <c r="H73" s="15">
        <f t="shared" si="11"/>
        <v>0</v>
      </c>
      <c r="I73" s="21" t="s">
        <v>449</v>
      </c>
      <c r="J73" s="21" t="s">
        <v>120</v>
      </c>
      <c r="K73" s="21" t="s">
        <v>450</v>
      </c>
      <c r="L73" s="112">
        <v>44643</v>
      </c>
      <c r="M73" s="127">
        <v>188021</v>
      </c>
      <c r="N73" s="114">
        <v>44550</v>
      </c>
      <c r="O73" s="115" t="s">
        <v>66</v>
      </c>
      <c r="P73" s="115" t="s">
        <v>767</v>
      </c>
      <c r="Q73" s="115" t="s">
        <v>451</v>
      </c>
      <c r="R73" s="116" t="s">
        <v>125</v>
      </c>
      <c r="S73" s="115" t="s">
        <v>69</v>
      </c>
      <c r="T73" s="117" t="s">
        <v>452</v>
      </c>
      <c r="U73" s="117" t="s">
        <v>124</v>
      </c>
      <c r="V73" s="118">
        <v>0</v>
      </c>
      <c r="W73" s="118">
        <f t="shared" si="14"/>
        <v>0</v>
      </c>
      <c r="X73" s="118" t="s">
        <v>125</v>
      </c>
      <c r="Y73" s="118"/>
      <c r="Z73" s="118" t="s">
        <v>453</v>
      </c>
      <c r="AA73" s="118">
        <v>0</v>
      </c>
      <c r="AB73" s="119" t="s">
        <v>127</v>
      </c>
      <c r="AC73" s="120"/>
      <c r="AD73" s="121"/>
      <c r="AE73" s="122" t="s">
        <v>1159</v>
      </c>
      <c r="AF73" s="126"/>
      <c r="AG73" s="114"/>
      <c r="AH73" s="21"/>
      <c r="AI73" s="21"/>
      <c r="AJ73" s="21"/>
      <c r="AK73" s="118"/>
      <c r="AL73" s="118" t="str">
        <f t="shared" si="12"/>
        <v/>
      </c>
      <c r="AM73" s="123"/>
      <c r="AN73" s="123"/>
      <c r="AO73" s="123"/>
      <c r="AP73" s="123"/>
      <c r="AQ73" s="123"/>
      <c r="AR73" s="123"/>
      <c r="AS73" s="123"/>
      <c r="AT73" s="123"/>
      <c r="AU73" s="123"/>
      <c r="AV73" s="123"/>
      <c r="AW73" s="124" t="str">
        <f t="shared" si="13"/>
        <v/>
      </c>
      <c r="AX73" s="124" t="str">
        <f>IF(AK73="","",ROUND(AL73/INT(LEFT(AH73,FIND("m",AH73)-1))*50%,0))</f>
        <v/>
      </c>
      <c r="AY73" s="124" t="str">
        <f t="shared" si="15"/>
        <v/>
      </c>
      <c r="AZ73" s="124" t="str">
        <f t="shared" si="16"/>
        <v/>
      </c>
      <c r="BA73" s="21"/>
      <c r="BB73" s="21"/>
      <c r="BC73" s="21"/>
      <c r="BD73" s="21"/>
      <c r="BE73" s="21"/>
      <c r="BF73" s="21"/>
      <c r="BG73" s="21"/>
      <c r="BH73" s="21"/>
      <c r="BI73" s="21"/>
      <c r="BJ73" s="21"/>
    </row>
    <row r="74" spans="1:62" ht="14" x14ac:dyDescent="0.15">
      <c r="A74" s="17">
        <v>70</v>
      </c>
      <c r="B74" s="16" t="s">
        <v>454</v>
      </c>
      <c r="C74" s="15">
        <v>244519800</v>
      </c>
      <c r="D74" s="112">
        <v>44671</v>
      </c>
      <c r="E74" s="21" t="s">
        <v>61</v>
      </c>
      <c r="F74" s="15">
        <f t="shared" si="10"/>
        <v>244519800</v>
      </c>
      <c r="G74" s="21" t="s">
        <v>62</v>
      </c>
      <c r="H74" s="15">
        <f t="shared" si="11"/>
        <v>0</v>
      </c>
      <c r="I74" s="21" t="s">
        <v>455</v>
      </c>
      <c r="J74" s="21" t="s">
        <v>102</v>
      </c>
      <c r="K74" s="21" t="s">
        <v>456</v>
      </c>
      <c r="L74" s="112">
        <v>44644</v>
      </c>
      <c r="M74" s="127">
        <v>188121</v>
      </c>
      <c r="N74" s="114">
        <v>44550</v>
      </c>
      <c r="O74" s="115" t="s">
        <v>66</v>
      </c>
      <c r="P74" s="115" t="s">
        <v>767</v>
      </c>
      <c r="Q74" s="115" t="s">
        <v>112</v>
      </c>
      <c r="R74" s="116" t="s">
        <v>457</v>
      </c>
      <c r="S74" s="115" t="s">
        <v>69</v>
      </c>
      <c r="T74" s="117">
        <v>44671</v>
      </c>
      <c r="U74" s="117"/>
      <c r="V74" s="118">
        <v>231560251</v>
      </c>
      <c r="W74" s="118">
        <f t="shared" si="14"/>
        <v>231560251</v>
      </c>
      <c r="X74" s="118" t="s">
        <v>1154</v>
      </c>
      <c r="Y74" s="118"/>
      <c r="Z74" s="118" t="s">
        <v>70</v>
      </c>
      <c r="AA74" s="118"/>
      <c r="AB74" s="119" t="s">
        <v>458</v>
      </c>
      <c r="AC74" s="120">
        <v>44690</v>
      </c>
      <c r="AD74" s="121">
        <v>901588549</v>
      </c>
      <c r="AE74" s="122" t="s">
        <v>1304</v>
      </c>
      <c r="AF74" s="126">
        <v>44741</v>
      </c>
      <c r="AG74" s="114">
        <v>45059</v>
      </c>
      <c r="AH74" s="21" t="s">
        <v>185</v>
      </c>
      <c r="AI74" s="21"/>
      <c r="AJ74" s="21"/>
      <c r="AK74" s="118">
        <v>16337872</v>
      </c>
      <c r="AL74" s="118">
        <f t="shared" si="12"/>
        <v>215222379</v>
      </c>
      <c r="AM74" s="123"/>
      <c r="AN74" s="123"/>
      <c r="AO74" s="123"/>
      <c r="AP74" s="123"/>
      <c r="AQ74" s="123"/>
      <c r="AR74" s="123"/>
      <c r="AS74" s="123"/>
      <c r="AT74" s="123"/>
      <c r="AU74" s="123"/>
      <c r="AV74" s="123">
        <v>0.1</v>
      </c>
      <c r="AW74" s="124">
        <f t="shared" si="13"/>
        <v>16337872</v>
      </c>
      <c r="AX74" s="124">
        <f>IF(AK74="","",ROUND(AL74/INT(LEFT(AH74,FIND("m",AH74)-1))*50%,0))</f>
        <v>15373027</v>
      </c>
      <c r="AY74" s="124">
        <f t="shared" si="15"/>
        <v>86088951.599999994</v>
      </c>
      <c r="AZ74" s="124">
        <f t="shared" si="16"/>
        <v>21522237.899999999</v>
      </c>
      <c r="BA74" s="21" t="s">
        <v>117</v>
      </c>
      <c r="BB74" s="21"/>
      <c r="BC74" s="21"/>
      <c r="BD74" s="21"/>
      <c r="BE74" s="21"/>
      <c r="BF74" s="21"/>
      <c r="BG74" s="21"/>
      <c r="BH74" s="21"/>
      <c r="BI74" s="21"/>
      <c r="BJ74" s="21"/>
    </row>
    <row r="75" spans="1:62" ht="14" x14ac:dyDescent="0.15">
      <c r="A75" s="17">
        <v>71</v>
      </c>
      <c r="B75" s="16" t="s">
        <v>459</v>
      </c>
      <c r="C75" s="15">
        <v>455938570</v>
      </c>
      <c r="D75" s="112">
        <v>44671</v>
      </c>
      <c r="E75" s="21" t="s">
        <v>61</v>
      </c>
      <c r="F75" s="15">
        <f t="shared" si="10"/>
        <v>455938570</v>
      </c>
      <c r="G75" s="21" t="s">
        <v>62</v>
      </c>
      <c r="H75" s="15">
        <f t="shared" si="11"/>
        <v>0</v>
      </c>
      <c r="I75" s="21" t="s">
        <v>460</v>
      </c>
      <c r="J75" s="21" t="s">
        <v>350</v>
      </c>
      <c r="K75" s="21" t="s">
        <v>461</v>
      </c>
      <c r="L75" s="112">
        <v>44644</v>
      </c>
      <c r="M75" s="127">
        <v>188021</v>
      </c>
      <c r="N75" s="114">
        <v>44550</v>
      </c>
      <c r="O75" s="115" t="s">
        <v>66</v>
      </c>
      <c r="P75" s="115" t="s">
        <v>767</v>
      </c>
      <c r="Q75" s="115" t="s">
        <v>112</v>
      </c>
      <c r="R75" s="116" t="s">
        <v>462</v>
      </c>
      <c r="S75" s="115" t="s">
        <v>69</v>
      </c>
      <c r="T75" s="117">
        <v>44672</v>
      </c>
      <c r="U75" s="117" t="s">
        <v>124</v>
      </c>
      <c r="V75" s="118">
        <v>0</v>
      </c>
      <c r="W75" s="118">
        <v>0</v>
      </c>
      <c r="X75" s="118" t="s">
        <v>125</v>
      </c>
      <c r="Y75" s="118"/>
      <c r="Z75" s="125" t="s">
        <v>143</v>
      </c>
      <c r="AA75" s="118"/>
      <c r="AB75" s="132" t="s">
        <v>125</v>
      </c>
      <c r="AC75" s="117" t="s">
        <v>145</v>
      </c>
      <c r="AD75" s="121" t="s">
        <v>463</v>
      </c>
      <c r="AE75" s="122" t="s">
        <v>1305</v>
      </c>
      <c r="AF75" s="126"/>
      <c r="AG75" s="114"/>
      <c r="AH75" s="21"/>
      <c r="AI75" s="21"/>
      <c r="AJ75" s="21"/>
      <c r="AK75" s="118"/>
      <c r="AL75" s="118" t="str">
        <f t="shared" si="12"/>
        <v/>
      </c>
      <c r="AM75" s="123"/>
      <c r="AN75" s="123"/>
      <c r="AO75" s="123"/>
      <c r="AP75" s="123"/>
      <c r="AQ75" s="123"/>
      <c r="AR75" s="123"/>
      <c r="AS75" s="123"/>
      <c r="AT75" s="123"/>
      <c r="AU75" s="123"/>
      <c r="AV75" s="123"/>
      <c r="AW75" s="124" t="str">
        <f t="shared" si="13"/>
        <v/>
      </c>
      <c r="AX75" s="124" t="str">
        <f>IF(AK75="","",ROUND(AL75/INT(LEFT(AH75,FIND("m",AH75)-1))*50%,0))</f>
        <v/>
      </c>
      <c r="AY75" s="124" t="str">
        <f t="shared" si="15"/>
        <v/>
      </c>
      <c r="AZ75" s="124" t="str">
        <f t="shared" si="16"/>
        <v/>
      </c>
      <c r="BA75" s="21"/>
      <c r="BB75" s="21"/>
      <c r="BC75" s="21"/>
      <c r="BD75" s="21"/>
      <c r="BE75" s="21"/>
      <c r="BF75" s="21"/>
      <c r="BG75" s="21"/>
      <c r="BH75" s="21"/>
      <c r="BI75" s="21"/>
      <c r="BJ75" s="21"/>
    </row>
    <row r="76" spans="1:62" ht="14" x14ac:dyDescent="0.15">
      <c r="A76" s="17">
        <v>72</v>
      </c>
      <c r="B76" s="16" t="s">
        <v>464</v>
      </c>
      <c r="C76" s="15">
        <v>440696390</v>
      </c>
      <c r="D76" s="112">
        <v>44671</v>
      </c>
      <c r="E76" s="21" t="s">
        <v>61</v>
      </c>
      <c r="F76" s="15">
        <f t="shared" si="10"/>
        <v>440696390</v>
      </c>
      <c r="G76" s="21" t="s">
        <v>62</v>
      </c>
      <c r="H76" s="15">
        <f t="shared" si="11"/>
        <v>0</v>
      </c>
      <c r="I76" s="21" t="s">
        <v>465</v>
      </c>
      <c r="J76" s="21" t="s">
        <v>136</v>
      </c>
      <c r="K76" s="21" t="s">
        <v>466</v>
      </c>
      <c r="L76" s="112">
        <v>44649</v>
      </c>
      <c r="M76" s="127">
        <v>188021</v>
      </c>
      <c r="N76" s="114">
        <v>44550</v>
      </c>
      <c r="O76" s="115" t="s">
        <v>66</v>
      </c>
      <c r="P76" s="115" t="s">
        <v>767</v>
      </c>
      <c r="Q76" s="115" t="s">
        <v>112</v>
      </c>
      <c r="R76" s="116" t="s">
        <v>467</v>
      </c>
      <c r="S76" s="115" t="s">
        <v>69</v>
      </c>
      <c r="T76" s="117">
        <v>44714</v>
      </c>
      <c r="U76" s="117"/>
      <c r="V76" s="118">
        <v>413373214</v>
      </c>
      <c r="W76" s="118">
        <f t="shared" si="14"/>
        <v>413373214</v>
      </c>
      <c r="X76" s="118" t="s">
        <v>1154</v>
      </c>
      <c r="Y76" s="118"/>
      <c r="Z76" s="118" t="s">
        <v>79</v>
      </c>
      <c r="AA76" s="118"/>
      <c r="AB76" s="119" t="s">
        <v>468</v>
      </c>
      <c r="AC76" s="120">
        <v>44726</v>
      </c>
      <c r="AD76" s="121">
        <v>901588851</v>
      </c>
      <c r="AE76" s="122" t="s">
        <v>1289</v>
      </c>
      <c r="AF76" s="126">
        <v>44760</v>
      </c>
      <c r="AG76" s="114">
        <v>45047</v>
      </c>
      <c r="AH76" s="21" t="s">
        <v>81</v>
      </c>
      <c r="AI76" s="21"/>
      <c r="AJ76" s="21"/>
      <c r="AK76" s="118">
        <v>30416573</v>
      </c>
      <c r="AL76" s="118">
        <f t="shared" si="12"/>
        <v>382956641</v>
      </c>
      <c r="AM76" s="123"/>
      <c r="AN76" s="123"/>
      <c r="AO76" s="123"/>
      <c r="AP76" s="123"/>
      <c r="AQ76" s="123"/>
      <c r="AR76" s="123"/>
      <c r="AS76" s="123"/>
      <c r="AT76" s="123"/>
      <c r="AU76" s="123"/>
      <c r="AV76" s="123">
        <v>0.1</v>
      </c>
      <c r="AW76" s="124">
        <f t="shared" si="13"/>
        <v>30416573</v>
      </c>
      <c r="AX76" s="124">
        <f>IF(AK76="","",ROUND(AL76/INT(LEFT(AH76,FIND("m",AH76)-1))*50%,2))</f>
        <v>23934790.059999999</v>
      </c>
      <c r="AY76" s="124">
        <f t="shared" si="15"/>
        <v>153182656.40000001</v>
      </c>
      <c r="AZ76" s="124">
        <f t="shared" si="16"/>
        <v>38295664.100000001</v>
      </c>
      <c r="BA76" s="21" t="s">
        <v>299</v>
      </c>
      <c r="BB76" s="21"/>
      <c r="BC76" s="21"/>
      <c r="BD76" s="21"/>
      <c r="BE76" s="21"/>
      <c r="BF76" s="21"/>
      <c r="BG76" s="21"/>
      <c r="BH76" s="21"/>
      <c r="BI76" s="21"/>
      <c r="BJ76" s="21"/>
    </row>
    <row r="77" spans="1:62" ht="14" x14ac:dyDescent="0.15">
      <c r="A77" s="17">
        <v>73</v>
      </c>
      <c r="B77" s="16" t="s">
        <v>469</v>
      </c>
      <c r="C77" s="15">
        <v>580321370</v>
      </c>
      <c r="D77" s="112">
        <v>44671</v>
      </c>
      <c r="E77" s="21" t="s">
        <v>61</v>
      </c>
      <c r="F77" s="15">
        <f t="shared" si="10"/>
        <v>580321370</v>
      </c>
      <c r="G77" s="21" t="s">
        <v>62</v>
      </c>
      <c r="H77" s="15">
        <f t="shared" si="11"/>
        <v>0</v>
      </c>
      <c r="I77" s="21" t="s">
        <v>470</v>
      </c>
      <c r="J77" s="21" t="s">
        <v>87</v>
      </c>
      <c r="K77" s="21" t="s">
        <v>466</v>
      </c>
      <c r="L77" s="112">
        <v>44649</v>
      </c>
      <c r="M77" s="113">
        <v>188221</v>
      </c>
      <c r="N77" s="114">
        <v>44550</v>
      </c>
      <c r="O77" s="115" t="s">
        <v>66</v>
      </c>
      <c r="P77" s="115" t="s">
        <v>767</v>
      </c>
      <c r="Q77" s="115" t="s">
        <v>112</v>
      </c>
      <c r="R77" s="116" t="s">
        <v>471</v>
      </c>
      <c r="S77" s="115" t="s">
        <v>69</v>
      </c>
      <c r="T77" s="117">
        <v>44678</v>
      </c>
      <c r="U77" s="117"/>
      <c r="V77" s="118">
        <v>546567000</v>
      </c>
      <c r="W77" s="118">
        <f t="shared" si="14"/>
        <v>546567000</v>
      </c>
      <c r="X77" s="118" t="s">
        <v>1352</v>
      </c>
      <c r="Y77" s="118"/>
      <c r="Z77" s="118" t="s">
        <v>70</v>
      </c>
      <c r="AA77" s="118"/>
      <c r="AB77" s="119" t="s">
        <v>472</v>
      </c>
      <c r="AC77" s="120">
        <v>44719</v>
      </c>
      <c r="AD77" s="121">
        <v>900021482</v>
      </c>
      <c r="AE77" s="122" t="s">
        <v>1306</v>
      </c>
      <c r="AF77" s="126">
        <v>44749</v>
      </c>
      <c r="AG77" s="114">
        <v>45356</v>
      </c>
      <c r="AH77" s="21" t="s">
        <v>72</v>
      </c>
      <c r="AI77" s="21" t="s">
        <v>473</v>
      </c>
      <c r="AJ77" s="21"/>
      <c r="AK77" s="118">
        <v>80206000</v>
      </c>
      <c r="AL77" s="118">
        <f t="shared" si="12"/>
        <v>466361000</v>
      </c>
      <c r="AM77" s="123"/>
      <c r="AN77" s="123"/>
      <c r="AO77" s="123"/>
      <c r="AP77" s="123"/>
      <c r="AQ77" s="123"/>
      <c r="AR77" s="123"/>
      <c r="AS77" s="123"/>
      <c r="AT77" s="123"/>
      <c r="AU77" s="123"/>
      <c r="AV77" s="123">
        <v>0.1</v>
      </c>
      <c r="AW77" s="124">
        <f t="shared" si="13"/>
        <v>80206000</v>
      </c>
      <c r="AX77" s="124">
        <f>IF(AK77="","",ROUND(AL77/INT(LEFT(AH77,FIND("m",AH77)-1))*50%,2))</f>
        <v>25908944.440000001</v>
      </c>
      <c r="AY77" s="124">
        <f t="shared" si="15"/>
        <v>186544400</v>
      </c>
      <c r="AZ77" s="124">
        <f t="shared" si="16"/>
        <v>46636100</v>
      </c>
      <c r="BA77" s="21" t="s">
        <v>299</v>
      </c>
      <c r="BB77" s="21"/>
      <c r="BC77" s="21"/>
      <c r="BD77" s="21"/>
      <c r="BE77" s="21"/>
      <c r="BF77" s="21"/>
      <c r="BG77" s="21"/>
      <c r="BH77" s="21"/>
      <c r="BI77" s="21"/>
      <c r="BJ77" s="21"/>
    </row>
    <row r="78" spans="1:62" ht="14" x14ac:dyDescent="0.15">
      <c r="A78" s="17">
        <v>74</v>
      </c>
      <c r="B78" s="16" t="s">
        <v>474</v>
      </c>
      <c r="C78" s="15">
        <v>951391410</v>
      </c>
      <c r="D78" s="112">
        <v>44671</v>
      </c>
      <c r="E78" s="21" t="s">
        <v>61</v>
      </c>
      <c r="F78" s="15">
        <f t="shared" si="10"/>
        <v>951391410</v>
      </c>
      <c r="G78" s="21" t="s">
        <v>62</v>
      </c>
      <c r="H78" s="15">
        <f t="shared" si="11"/>
        <v>0</v>
      </c>
      <c r="I78" s="21" t="s">
        <v>475</v>
      </c>
      <c r="J78" s="21" t="s">
        <v>176</v>
      </c>
      <c r="K78" s="21" t="s">
        <v>466</v>
      </c>
      <c r="L78" s="112">
        <v>44649</v>
      </c>
      <c r="M78" s="127">
        <v>188021</v>
      </c>
      <c r="N78" s="114">
        <v>44550</v>
      </c>
      <c r="O78" s="115" t="s">
        <v>66</v>
      </c>
      <c r="P78" s="115" t="s">
        <v>767</v>
      </c>
      <c r="Q78" s="115" t="s">
        <v>476</v>
      </c>
      <c r="R78" s="116" t="s">
        <v>477</v>
      </c>
      <c r="S78" s="115" t="s">
        <v>69</v>
      </c>
      <c r="T78" s="117">
        <v>44677</v>
      </c>
      <c r="U78" s="117"/>
      <c r="V78" s="118">
        <v>888599578</v>
      </c>
      <c r="W78" s="118">
        <f t="shared" si="14"/>
        <v>888599578</v>
      </c>
      <c r="X78" s="118" t="s">
        <v>1154</v>
      </c>
      <c r="Y78" s="118"/>
      <c r="Z78" s="118" t="s">
        <v>70</v>
      </c>
      <c r="AA78" s="118"/>
      <c r="AB78" s="119" t="s">
        <v>478</v>
      </c>
      <c r="AC78" s="120">
        <v>44698</v>
      </c>
      <c r="AD78" s="121">
        <v>901590393</v>
      </c>
      <c r="AE78" s="122" t="s">
        <v>1307</v>
      </c>
      <c r="AF78" s="126">
        <v>44729</v>
      </c>
      <c r="AG78" s="114">
        <v>45410</v>
      </c>
      <c r="AH78" s="21" t="s">
        <v>106</v>
      </c>
      <c r="AI78" s="21" t="s">
        <v>202</v>
      </c>
      <c r="AJ78" s="21"/>
      <c r="AK78" s="118">
        <v>97137495</v>
      </c>
      <c r="AL78" s="118">
        <f t="shared" si="12"/>
        <v>791462083</v>
      </c>
      <c r="AM78" s="123"/>
      <c r="AN78" s="123"/>
      <c r="AO78" s="123"/>
      <c r="AP78" s="123"/>
      <c r="AQ78" s="123"/>
      <c r="AR78" s="123"/>
      <c r="AS78" s="123"/>
      <c r="AT78" s="123"/>
      <c r="AU78" s="123"/>
      <c r="AV78" s="123">
        <v>0.1</v>
      </c>
      <c r="AW78" s="124">
        <f t="shared" si="13"/>
        <v>97137495</v>
      </c>
      <c r="AX78" s="124">
        <f>IF(AK78="","",ROUND(AL78/INT(LEFT(AH78,FIND("m",AH78)-1))*50%,0))</f>
        <v>28266503</v>
      </c>
      <c r="AY78" s="124">
        <f t="shared" si="15"/>
        <v>316584833.19999999</v>
      </c>
      <c r="AZ78" s="124">
        <f t="shared" si="16"/>
        <v>79146208.299999997</v>
      </c>
      <c r="BA78" s="21" t="s">
        <v>99</v>
      </c>
      <c r="BB78" s="21"/>
      <c r="BC78" s="21"/>
      <c r="BD78" s="21"/>
      <c r="BE78" s="21"/>
      <c r="BF78" s="21"/>
      <c r="BG78" s="21"/>
      <c r="BH78" s="21"/>
      <c r="BI78" s="21"/>
      <c r="BJ78" s="21"/>
    </row>
    <row r="79" spans="1:62" ht="14" x14ac:dyDescent="0.15">
      <c r="A79" s="17">
        <v>75</v>
      </c>
      <c r="B79" s="16" t="s">
        <v>479</v>
      </c>
      <c r="C79" s="15">
        <v>1924404038</v>
      </c>
      <c r="D79" s="112">
        <v>44669</v>
      </c>
      <c r="E79" s="21" t="s">
        <v>480</v>
      </c>
      <c r="F79" s="15">
        <f t="shared" si="10"/>
        <v>1924404038</v>
      </c>
      <c r="G79" s="21" t="s">
        <v>62</v>
      </c>
      <c r="H79" s="15">
        <f t="shared" si="11"/>
        <v>0</v>
      </c>
      <c r="I79" s="21" t="s">
        <v>481</v>
      </c>
      <c r="J79" s="21" t="s">
        <v>340</v>
      </c>
      <c r="K79" s="21" t="s">
        <v>482</v>
      </c>
      <c r="L79" s="112">
        <v>44662</v>
      </c>
      <c r="M79" s="127">
        <v>9822</v>
      </c>
      <c r="N79" s="114">
        <v>44567</v>
      </c>
      <c r="O79" s="115" t="s">
        <v>66</v>
      </c>
      <c r="P79" s="115" t="s">
        <v>767</v>
      </c>
      <c r="Q79" s="115" t="s">
        <v>112</v>
      </c>
      <c r="R79" s="116" t="s">
        <v>483</v>
      </c>
      <c r="S79" s="115" t="s">
        <v>69</v>
      </c>
      <c r="T79" s="117" t="s">
        <v>429</v>
      </c>
      <c r="U79" s="117" t="s">
        <v>124</v>
      </c>
      <c r="V79" s="118">
        <v>0</v>
      </c>
      <c r="W79" s="118">
        <f t="shared" si="14"/>
        <v>0</v>
      </c>
      <c r="X79" s="118" t="s">
        <v>125</v>
      </c>
      <c r="Y79" s="118"/>
      <c r="Z79" s="118" t="s">
        <v>143</v>
      </c>
      <c r="AA79" s="118"/>
      <c r="AB79" s="132" t="s">
        <v>125</v>
      </c>
      <c r="AC79" s="120"/>
      <c r="AD79" s="121"/>
      <c r="AE79" s="122" t="s">
        <v>1159</v>
      </c>
      <c r="AF79" s="126"/>
      <c r="AG79" s="114"/>
      <c r="AH79" s="21"/>
      <c r="AI79" s="21"/>
      <c r="AJ79" s="21"/>
      <c r="AK79" s="118"/>
      <c r="AL79" s="118" t="str">
        <f t="shared" si="12"/>
        <v/>
      </c>
      <c r="AM79" s="123"/>
      <c r="AN79" s="123"/>
      <c r="AO79" s="123"/>
      <c r="AP79" s="123"/>
      <c r="AQ79" s="123"/>
      <c r="AR79" s="123"/>
      <c r="AS79" s="123"/>
      <c r="AT79" s="123"/>
      <c r="AU79" s="123"/>
      <c r="AV79" s="123"/>
      <c r="AW79" s="124" t="str">
        <f t="shared" si="13"/>
        <v/>
      </c>
      <c r="AX79" s="124" t="str">
        <f>IF(AK79="","",ROUND(AL79/INT(LEFT(AH79,FIND("m",AH79)-1))*50%,0))</f>
        <v/>
      </c>
      <c r="AY79" s="124" t="str">
        <f t="shared" si="15"/>
        <v/>
      </c>
      <c r="AZ79" s="124" t="str">
        <f t="shared" si="16"/>
        <v/>
      </c>
      <c r="BA79" s="21"/>
      <c r="BB79" s="21"/>
      <c r="BC79" s="21"/>
      <c r="BD79" s="21"/>
      <c r="BE79" s="21"/>
      <c r="BF79" s="21"/>
      <c r="BG79" s="21"/>
      <c r="BH79" s="21"/>
      <c r="BI79" s="21"/>
      <c r="BJ79" s="21"/>
    </row>
    <row r="80" spans="1:62" ht="14" x14ac:dyDescent="0.15">
      <c r="A80" s="17">
        <v>76</v>
      </c>
      <c r="B80" s="16" t="s">
        <v>484</v>
      </c>
      <c r="C80" s="15">
        <v>4048787991</v>
      </c>
      <c r="D80" s="112">
        <v>44669</v>
      </c>
      <c r="E80" s="21" t="s">
        <v>480</v>
      </c>
      <c r="F80" s="15">
        <f t="shared" si="10"/>
        <v>4048787991</v>
      </c>
      <c r="G80" s="21" t="s">
        <v>62</v>
      </c>
      <c r="H80" s="15">
        <f t="shared" si="11"/>
        <v>0</v>
      </c>
      <c r="I80" s="21" t="s">
        <v>485</v>
      </c>
      <c r="J80" s="21" t="s">
        <v>87</v>
      </c>
      <c r="K80" s="21" t="s">
        <v>486</v>
      </c>
      <c r="L80" s="112">
        <v>44662</v>
      </c>
      <c r="M80" s="127">
        <v>9822</v>
      </c>
      <c r="N80" s="114">
        <v>44567</v>
      </c>
      <c r="O80" s="115" t="s">
        <v>66</v>
      </c>
      <c r="P80" s="115" t="s">
        <v>767</v>
      </c>
      <c r="Q80" s="115" t="s">
        <v>112</v>
      </c>
      <c r="R80" s="116" t="s">
        <v>487</v>
      </c>
      <c r="S80" s="115" t="s">
        <v>69</v>
      </c>
      <c r="T80" s="117" t="s">
        <v>429</v>
      </c>
      <c r="U80" s="117" t="s">
        <v>124</v>
      </c>
      <c r="V80" s="118">
        <v>0</v>
      </c>
      <c r="W80" s="118">
        <f t="shared" si="14"/>
        <v>0</v>
      </c>
      <c r="X80" s="118" t="s">
        <v>125</v>
      </c>
      <c r="Y80" s="118"/>
      <c r="Z80" s="118" t="s">
        <v>143</v>
      </c>
      <c r="AA80" s="118"/>
      <c r="AB80" s="132" t="s">
        <v>125</v>
      </c>
      <c r="AC80" s="120"/>
      <c r="AD80" s="121"/>
      <c r="AE80" s="122" t="s">
        <v>1159</v>
      </c>
      <c r="AF80" s="126"/>
      <c r="AG80" s="114"/>
      <c r="AH80" s="21"/>
      <c r="AI80" s="21"/>
      <c r="AJ80" s="21"/>
      <c r="AK80" s="118"/>
      <c r="AL80" s="118" t="str">
        <f t="shared" si="12"/>
        <v/>
      </c>
      <c r="AM80" s="123"/>
      <c r="AN80" s="123"/>
      <c r="AO80" s="123"/>
      <c r="AP80" s="123"/>
      <c r="AQ80" s="123"/>
      <c r="AR80" s="123"/>
      <c r="AS80" s="123"/>
      <c r="AT80" s="123"/>
      <c r="AU80" s="123"/>
      <c r="AV80" s="123"/>
      <c r="AW80" s="124" t="str">
        <f t="shared" si="13"/>
        <v/>
      </c>
      <c r="AX80" s="124" t="str">
        <f>IF(AK80="","",ROUND(AL80/INT(LEFT(AH80,FIND("m",AH80)-1))*50%,0))</f>
        <v/>
      </c>
      <c r="AY80" s="124" t="str">
        <f t="shared" si="15"/>
        <v/>
      </c>
      <c r="AZ80" s="124" t="str">
        <f t="shared" si="16"/>
        <v/>
      </c>
      <c r="BA80" s="21"/>
      <c r="BB80" s="21"/>
      <c r="BC80" s="21"/>
      <c r="BD80" s="21"/>
      <c r="BE80" s="21"/>
      <c r="BF80" s="21"/>
      <c r="BG80" s="21"/>
      <c r="BH80" s="21"/>
      <c r="BI80" s="21"/>
      <c r="BJ80" s="21"/>
    </row>
    <row r="81" spans="1:62" ht="14" x14ac:dyDescent="0.15">
      <c r="A81" s="17">
        <v>77</v>
      </c>
      <c r="B81" s="16" t="s">
        <v>488</v>
      </c>
      <c r="C81" s="15">
        <v>1437702487</v>
      </c>
      <c r="D81" s="112">
        <v>44669</v>
      </c>
      <c r="E81" s="21" t="s">
        <v>480</v>
      </c>
      <c r="F81" s="15">
        <f t="shared" si="10"/>
        <v>1437702487</v>
      </c>
      <c r="G81" s="21" t="s">
        <v>62</v>
      </c>
      <c r="H81" s="15">
        <f t="shared" si="11"/>
        <v>0</v>
      </c>
      <c r="I81" s="21" t="s">
        <v>489</v>
      </c>
      <c r="J81" s="21" t="s">
        <v>489</v>
      </c>
      <c r="K81" s="21" t="s">
        <v>490</v>
      </c>
      <c r="L81" s="112">
        <v>44664</v>
      </c>
      <c r="M81" s="127">
        <v>9822</v>
      </c>
      <c r="N81" s="114">
        <v>44567</v>
      </c>
      <c r="O81" s="115" t="s">
        <v>66</v>
      </c>
      <c r="P81" s="115" t="s">
        <v>767</v>
      </c>
      <c r="Q81" s="115" t="s">
        <v>112</v>
      </c>
      <c r="R81" s="116" t="s">
        <v>491</v>
      </c>
      <c r="S81" s="115" t="s">
        <v>69</v>
      </c>
      <c r="T81" s="117">
        <v>44686</v>
      </c>
      <c r="U81" s="117"/>
      <c r="V81" s="118">
        <v>1379673038</v>
      </c>
      <c r="W81" s="118">
        <f t="shared" si="14"/>
        <v>1379673038</v>
      </c>
      <c r="X81" s="118" t="s">
        <v>1154</v>
      </c>
      <c r="Y81" s="118"/>
      <c r="Z81" s="125" t="s">
        <v>79</v>
      </c>
      <c r="AA81" s="118">
        <v>0</v>
      </c>
      <c r="AB81" s="119" t="s">
        <v>492</v>
      </c>
      <c r="AC81" s="120">
        <v>44704</v>
      </c>
      <c r="AD81" s="121">
        <v>901593328</v>
      </c>
      <c r="AE81" s="122" t="s">
        <v>1308</v>
      </c>
      <c r="AF81" s="126">
        <v>44748</v>
      </c>
      <c r="AG81" s="114">
        <v>44966</v>
      </c>
      <c r="AH81" s="21" t="s">
        <v>493</v>
      </c>
      <c r="AI81" s="21" t="s">
        <v>494</v>
      </c>
      <c r="AJ81" s="21"/>
      <c r="AK81" s="118">
        <v>22338830</v>
      </c>
      <c r="AL81" s="118">
        <f t="shared" si="12"/>
        <v>1357334208</v>
      </c>
      <c r="AM81" s="123">
        <v>0.22720000000000001</v>
      </c>
      <c r="AN81" s="123">
        <v>0.01</v>
      </c>
      <c r="AO81" s="123">
        <v>0.05</v>
      </c>
      <c r="AP81" s="123"/>
      <c r="AQ81" s="123"/>
      <c r="AR81" s="123"/>
      <c r="AS81" s="123"/>
      <c r="AT81" s="123"/>
      <c r="AU81" s="123"/>
      <c r="AV81" s="123">
        <v>0.1</v>
      </c>
      <c r="AW81" s="124">
        <f>+AK81</f>
        <v>22338830</v>
      </c>
      <c r="AX81" s="124">
        <f>IF(AK81="","",ROUND(AL81*0%,2))</f>
        <v>0</v>
      </c>
      <c r="AY81" s="124">
        <f>IF(AK81="","",ROUND(AL81*100%,2))</f>
        <v>1357334208</v>
      </c>
      <c r="AZ81" s="124">
        <f>IF(AK81="","",ROUND(AL81*0%,2))</f>
        <v>0</v>
      </c>
      <c r="BA81" s="21" t="s">
        <v>108</v>
      </c>
      <c r="BB81" s="21"/>
      <c r="BC81" s="21"/>
      <c r="BD81" s="21"/>
      <c r="BE81" s="21"/>
      <c r="BF81" s="21"/>
      <c r="BG81" s="21"/>
      <c r="BH81" s="21"/>
      <c r="BI81" s="21"/>
      <c r="BJ81" s="21"/>
    </row>
    <row r="82" spans="1:62" ht="14" x14ac:dyDescent="0.15">
      <c r="A82" s="17">
        <v>78</v>
      </c>
      <c r="B82" s="21" t="s">
        <v>495</v>
      </c>
      <c r="C82" s="15">
        <v>630497810</v>
      </c>
      <c r="D82" s="112">
        <v>44671</v>
      </c>
      <c r="E82" s="21" t="s">
        <v>61</v>
      </c>
      <c r="F82" s="15">
        <f t="shared" si="10"/>
        <v>630497810</v>
      </c>
      <c r="G82" s="21" t="s">
        <v>62</v>
      </c>
      <c r="H82" s="15">
        <f t="shared" si="11"/>
        <v>0</v>
      </c>
      <c r="I82" s="21" t="s">
        <v>496</v>
      </c>
      <c r="J82" s="21" t="s">
        <v>172</v>
      </c>
      <c r="K82" s="21" t="s">
        <v>497</v>
      </c>
      <c r="L82" s="112">
        <v>44643</v>
      </c>
      <c r="M82" s="127">
        <v>176921</v>
      </c>
      <c r="N82" s="114">
        <v>44477</v>
      </c>
      <c r="O82" s="115" t="s">
        <v>66</v>
      </c>
      <c r="P82" s="115" t="s">
        <v>767</v>
      </c>
      <c r="Q82" s="115" t="s">
        <v>498</v>
      </c>
      <c r="R82" s="116" t="s">
        <v>499</v>
      </c>
      <c r="S82" s="115" t="s">
        <v>69</v>
      </c>
      <c r="T82" s="117">
        <v>44671</v>
      </c>
      <c r="U82" s="117" t="s">
        <v>124</v>
      </c>
      <c r="V82" s="118">
        <v>0</v>
      </c>
      <c r="W82" s="118">
        <v>0</v>
      </c>
      <c r="X82" s="118" t="s">
        <v>125</v>
      </c>
      <c r="Y82" s="118"/>
      <c r="Z82" s="125" t="s">
        <v>143</v>
      </c>
      <c r="AA82" s="118"/>
      <c r="AB82" s="132" t="s">
        <v>125</v>
      </c>
      <c r="AC82" s="117" t="s">
        <v>145</v>
      </c>
      <c r="AD82" s="121" t="s">
        <v>500</v>
      </c>
      <c r="AE82" s="122" t="s">
        <v>1305</v>
      </c>
      <c r="AF82" s="126"/>
      <c r="AG82" s="114"/>
      <c r="AH82" s="21"/>
      <c r="AI82" s="21"/>
      <c r="AJ82" s="21"/>
      <c r="AK82" s="118"/>
      <c r="AL82" s="118" t="str">
        <f t="shared" si="12"/>
        <v/>
      </c>
      <c r="AM82" s="123"/>
      <c r="AN82" s="123"/>
      <c r="AO82" s="123"/>
      <c r="AP82" s="123"/>
      <c r="AQ82" s="123"/>
      <c r="AR82" s="123"/>
      <c r="AS82" s="123"/>
      <c r="AT82" s="123"/>
      <c r="AU82" s="123"/>
      <c r="AV82" s="123"/>
      <c r="AW82" s="124" t="str">
        <f t="shared" ref="AW82:AW94" si="17">IF(AK82="","",AK82)</f>
        <v/>
      </c>
      <c r="AX82" s="124" t="str">
        <f t="shared" ref="AX82:AX87" si="18">IF(AK82="","",ROUND(AL82/INT(LEFT(AH82,FIND("m",AH82)-1))*50%,0))</f>
        <v/>
      </c>
      <c r="AY82" s="124" t="str">
        <f t="shared" ref="AY82:AY94" si="19">IF(AK82="","",ROUND(AL82*40%,2))</f>
        <v/>
      </c>
      <c r="AZ82" s="124" t="str">
        <f t="shared" ref="AZ82:AZ94" si="20">IF(AK82="","",ROUND(AL82*10%,2))</f>
        <v/>
      </c>
      <c r="BA82" s="21"/>
      <c r="BB82" s="21"/>
      <c r="BC82" s="21"/>
      <c r="BD82" s="21"/>
      <c r="BE82" s="21"/>
      <c r="BF82" s="21"/>
      <c r="BG82" s="21"/>
      <c r="BH82" s="21"/>
      <c r="BI82" s="21"/>
      <c r="BJ82" s="21"/>
    </row>
    <row r="83" spans="1:62" ht="14" x14ac:dyDescent="0.15">
      <c r="A83" s="17">
        <v>79</v>
      </c>
      <c r="B83" s="16" t="s">
        <v>448</v>
      </c>
      <c r="C83" s="15">
        <v>258395000</v>
      </c>
      <c r="D83" s="112">
        <v>44671</v>
      </c>
      <c r="E83" s="21" t="s">
        <v>61</v>
      </c>
      <c r="F83" s="15">
        <f t="shared" si="10"/>
        <v>258395000</v>
      </c>
      <c r="G83" s="21" t="s">
        <v>62</v>
      </c>
      <c r="H83" s="15">
        <f t="shared" si="11"/>
        <v>0</v>
      </c>
      <c r="I83" s="21" t="s">
        <v>501</v>
      </c>
      <c r="J83" s="21" t="s">
        <v>120</v>
      </c>
      <c r="K83" s="21" t="s">
        <v>450</v>
      </c>
      <c r="L83" s="112">
        <v>44643</v>
      </c>
      <c r="M83" s="127">
        <v>176921</v>
      </c>
      <c r="N83" s="114">
        <v>44477</v>
      </c>
      <c r="O83" s="115" t="s">
        <v>66</v>
      </c>
      <c r="P83" s="115" t="s">
        <v>767</v>
      </c>
      <c r="Q83" s="115" t="s">
        <v>451</v>
      </c>
      <c r="R83" s="116" t="s">
        <v>502</v>
      </c>
      <c r="S83" s="115" t="s">
        <v>69</v>
      </c>
      <c r="T83" s="117">
        <v>44671</v>
      </c>
      <c r="U83" s="117"/>
      <c r="V83" s="118">
        <v>246865742</v>
      </c>
      <c r="W83" s="118">
        <f t="shared" si="14"/>
        <v>246865742</v>
      </c>
      <c r="X83" s="118" t="s">
        <v>1154</v>
      </c>
      <c r="Y83" s="118"/>
      <c r="Z83" s="125" t="s">
        <v>70</v>
      </c>
      <c r="AA83" s="118"/>
      <c r="AB83" s="119" t="s">
        <v>503</v>
      </c>
      <c r="AC83" s="120">
        <v>44692</v>
      </c>
      <c r="AD83" s="121">
        <v>901590548</v>
      </c>
      <c r="AE83" s="122" t="s">
        <v>1309</v>
      </c>
      <c r="AF83" s="126">
        <v>44718</v>
      </c>
      <c r="AG83" s="114" t="s">
        <v>504</v>
      </c>
      <c r="AH83" s="21" t="s">
        <v>185</v>
      </c>
      <c r="AI83" s="21" t="s">
        <v>505</v>
      </c>
      <c r="AJ83" s="21"/>
      <c r="AK83" s="118">
        <v>19079690</v>
      </c>
      <c r="AL83" s="118">
        <f t="shared" si="12"/>
        <v>227786052</v>
      </c>
      <c r="AM83" s="123"/>
      <c r="AN83" s="123"/>
      <c r="AO83" s="123"/>
      <c r="AP83" s="123"/>
      <c r="AQ83" s="123"/>
      <c r="AR83" s="123"/>
      <c r="AS83" s="123"/>
      <c r="AT83" s="123"/>
      <c r="AU83" s="123"/>
      <c r="AV83" s="123">
        <v>0.1</v>
      </c>
      <c r="AW83" s="124">
        <f t="shared" si="17"/>
        <v>19079690</v>
      </c>
      <c r="AX83" s="124">
        <f t="shared" si="18"/>
        <v>16270432</v>
      </c>
      <c r="AY83" s="124">
        <f t="shared" si="19"/>
        <v>91114420.799999997</v>
      </c>
      <c r="AZ83" s="124">
        <f t="shared" si="20"/>
        <v>22778605.199999999</v>
      </c>
      <c r="BA83" s="21" t="s">
        <v>165</v>
      </c>
      <c r="BB83" s="124">
        <v>12003500</v>
      </c>
      <c r="BC83" s="124">
        <f>ROUND(154016436/7*50%,0)</f>
        <v>11001174</v>
      </c>
      <c r="BD83" s="124">
        <f>ROUND(154016436*40%,2)</f>
        <v>61606574.399999999</v>
      </c>
      <c r="BE83" s="124">
        <f>AW83-BB83</f>
        <v>7076190</v>
      </c>
      <c r="BF83" s="124">
        <f>ROUND(73769616*50%/6,0)</f>
        <v>6147468</v>
      </c>
      <c r="BG83" s="124">
        <f>AY83-BD83</f>
        <v>29507846.399999999</v>
      </c>
      <c r="BH83" s="21"/>
      <c r="BI83" s="21"/>
      <c r="BJ83" s="21"/>
    </row>
    <row r="84" spans="1:62" ht="14" x14ac:dyDescent="0.15">
      <c r="A84" s="17">
        <v>80</v>
      </c>
      <c r="B84" s="16" t="s">
        <v>506</v>
      </c>
      <c r="C84" s="15">
        <v>413478540</v>
      </c>
      <c r="D84" s="112">
        <v>44679</v>
      </c>
      <c r="E84" s="21" t="s">
        <v>61</v>
      </c>
      <c r="F84" s="15">
        <f t="shared" si="10"/>
        <v>413478540</v>
      </c>
      <c r="G84" s="133" t="s">
        <v>62</v>
      </c>
      <c r="H84" s="15">
        <f t="shared" si="11"/>
        <v>0</v>
      </c>
      <c r="I84" s="21" t="s">
        <v>507</v>
      </c>
      <c r="J84" s="21" t="s">
        <v>136</v>
      </c>
      <c r="K84" s="21" t="s">
        <v>508</v>
      </c>
      <c r="L84" s="112">
        <v>44655</v>
      </c>
      <c r="M84" s="127">
        <v>9822</v>
      </c>
      <c r="N84" s="114">
        <v>44567</v>
      </c>
      <c r="O84" s="115" t="s">
        <v>66</v>
      </c>
      <c r="P84" s="115" t="s">
        <v>767</v>
      </c>
      <c r="Q84" s="115" t="s">
        <v>476</v>
      </c>
      <c r="R84" s="116" t="s">
        <v>509</v>
      </c>
      <c r="S84" s="115" t="s">
        <v>69</v>
      </c>
      <c r="T84" s="117">
        <v>44706</v>
      </c>
      <c r="U84" s="117"/>
      <c r="V84" s="118">
        <v>392804613</v>
      </c>
      <c r="W84" s="118">
        <f t="shared" si="14"/>
        <v>392804613</v>
      </c>
      <c r="X84" s="118" t="s">
        <v>1154</v>
      </c>
      <c r="Y84" s="118"/>
      <c r="Z84" s="118" t="s">
        <v>70</v>
      </c>
      <c r="AA84" s="118"/>
      <c r="AB84" s="119" t="s">
        <v>510</v>
      </c>
      <c r="AC84" s="120">
        <v>44727</v>
      </c>
      <c r="AD84" s="121">
        <v>901598962</v>
      </c>
      <c r="AE84" s="122" t="s">
        <v>1310</v>
      </c>
      <c r="AF84" s="126">
        <v>44774</v>
      </c>
      <c r="AG84" s="114">
        <v>45420</v>
      </c>
      <c r="AH84" s="21" t="s">
        <v>81</v>
      </c>
      <c r="AI84" s="21" t="s">
        <v>331</v>
      </c>
      <c r="AJ84" s="21"/>
      <c r="AK84" s="118">
        <v>24298330</v>
      </c>
      <c r="AL84" s="118">
        <f t="shared" si="12"/>
        <v>368506283</v>
      </c>
      <c r="AM84" s="123"/>
      <c r="AN84" s="123"/>
      <c r="AO84" s="123"/>
      <c r="AP84" s="123"/>
      <c r="AQ84" s="123"/>
      <c r="AR84" s="123"/>
      <c r="AS84" s="123"/>
      <c r="AT84" s="123"/>
      <c r="AU84" s="123"/>
      <c r="AV84" s="123">
        <v>0.1</v>
      </c>
      <c r="AW84" s="124">
        <f t="shared" si="17"/>
        <v>24298330</v>
      </c>
      <c r="AX84" s="124">
        <f t="shared" si="18"/>
        <v>23031643</v>
      </c>
      <c r="AY84" s="124">
        <f t="shared" si="19"/>
        <v>147402513.19999999</v>
      </c>
      <c r="AZ84" s="124">
        <f t="shared" si="20"/>
        <v>36850628.299999997</v>
      </c>
      <c r="BA84" s="21" t="s">
        <v>257</v>
      </c>
      <c r="BB84" s="21"/>
      <c r="BC84" s="21"/>
      <c r="BD84" s="21"/>
      <c r="BE84" s="21"/>
      <c r="BF84" s="21"/>
      <c r="BG84" s="21"/>
      <c r="BH84" s="21"/>
      <c r="BI84" s="21"/>
      <c r="BJ84" s="21"/>
    </row>
    <row r="85" spans="1:62" ht="14" x14ac:dyDescent="0.15">
      <c r="A85" s="17">
        <v>81</v>
      </c>
      <c r="B85" s="16" t="s">
        <v>511</v>
      </c>
      <c r="C85" s="15">
        <v>196197150</v>
      </c>
      <c r="D85" s="112">
        <v>44676</v>
      </c>
      <c r="E85" s="21" t="s">
        <v>61</v>
      </c>
      <c r="F85" s="15">
        <f t="shared" si="10"/>
        <v>196197150</v>
      </c>
      <c r="G85" s="21" t="s">
        <v>62</v>
      </c>
      <c r="H85" s="15">
        <f t="shared" si="11"/>
        <v>0</v>
      </c>
      <c r="I85" s="21" t="s">
        <v>512</v>
      </c>
      <c r="J85" s="21" t="s">
        <v>136</v>
      </c>
      <c r="K85" s="21" t="s">
        <v>513</v>
      </c>
      <c r="L85" s="112">
        <v>44655</v>
      </c>
      <c r="M85" s="127">
        <v>9822</v>
      </c>
      <c r="N85" s="114">
        <v>44567</v>
      </c>
      <c r="O85" s="115" t="s">
        <v>66</v>
      </c>
      <c r="P85" s="115" t="s">
        <v>767</v>
      </c>
      <c r="Q85" s="115" t="s">
        <v>476</v>
      </c>
      <c r="R85" s="116" t="s">
        <v>514</v>
      </c>
      <c r="S85" s="115" t="s">
        <v>69</v>
      </c>
      <c r="T85" s="117">
        <v>44685</v>
      </c>
      <c r="U85" s="117"/>
      <c r="V85" s="118">
        <v>185164000</v>
      </c>
      <c r="W85" s="118">
        <f t="shared" si="14"/>
        <v>185164000</v>
      </c>
      <c r="X85" s="118" t="s">
        <v>1154</v>
      </c>
      <c r="Y85" s="118"/>
      <c r="Z85" s="118" t="s">
        <v>70</v>
      </c>
      <c r="AA85" s="118"/>
      <c r="AB85" s="119" t="s">
        <v>515</v>
      </c>
      <c r="AC85" s="120">
        <v>44713</v>
      </c>
      <c r="AD85" s="121">
        <v>901593801</v>
      </c>
      <c r="AE85" s="122" t="s">
        <v>1311</v>
      </c>
      <c r="AF85" s="126">
        <v>44757</v>
      </c>
      <c r="AG85" s="114">
        <v>45320</v>
      </c>
      <c r="AH85" s="21" t="s">
        <v>81</v>
      </c>
      <c r="AI85" s="21" t="s">
        <v>331</v>
      </c>
      <c r="AJ85" s="21"/>
      <c r="AK85" s="118">
        <v>13090000</v>
      </c>
      <c r="AL85" s="118">
        <f t="shared" si="12"/>
        <v>172074000</v>
      </c>
      <c r="AM85" s="123"/>
      <c r="AN85" s="123"/>
      <c r="AO85" s="123"/>
      <c r="AP85" s="123"/>
      <c r="AQ85" s="123"/>
      <c r="AR85" s="123"/>
      <c r="AS85" s="123"/>
      <c r="AT85" s="123"/>
      <c r="AU85" s="123"/>
      <c r="AV85" s="123">
        <v>0.1</v>
      </c>
      <c r="AW85" s="124">
        <f t="shared" si="17"/>
        <v>13090000</v>
      </c>
      <c r="AX85" s="124">
        <f t="shared" si="18"/>
        <v>10754625</v>
      </c>
      <c r="AY85" s="124">
        <f t="shared" si="19"/>
        <v>68829600</v>
      </c>
      <c r="AZ85" s="124">
        <f t="shared" si="20"/>
        <v>17207400</v>
      </c>
      <c r="BA85" s="21" t="s">
        <v>257</v>
      </c>
      <c r="BB85" s="21"/>
      <c r="BC85" s="21"/>
      <c r="BD85" s="21"/>
      <c r="BE85" s="21"/>
      <c r="BF85" s="21"/>
      <c r="BG85" s="21"/>
      <c r="BH85" s="21"/>
      <c r="BI85" s="21"/>
      <c r="BJ85" s="21"/>
    </row>
    <row r="86" spans="1:62" ht="14" x14ac:dyDescent="0.15">
      <c r="A86" s="17">
        <v>82</v>
      </c>
      <c r="B86" s="21" t="s">
        <v>516</v>
      </c>
      <c r="C86" s="15">
        <v>1681468397</v>
      </c>
      <c r="D86" s="112">
        <v>44679</v>
      </c>
      <c r="E86" s="133" t="s">
        <v>480</v>
      </c>
      <c r="F86" s="15">
        <f t="shared" si="10"/>
        <v>1681468397</v>
      </c>
      <c r="G86" s="21" t="s">
        <v>62</v>
      </c>
      <c r="H86" s="15">
        <f t="shared" si="11"/>
        <v>0</v>
      </c>
      <c r="I86" s="21" t="s">
        <v>517</v>
      </c>
      <c r="J86" s="21" t="s">
        <v>518</v>
      </c>
      <c r="K86" s="21" t="s">
        <v>519</v>
      </c>
      <c r="L86" s="112">
        <v>44679</v>
      </c>
      <c r="M86" s="127">
        <v>9822</v>
      </c>
      <c r="N86" s="114">
        <v>44567</v>
      </c>
      <c r="O86" s="115" t="s">
        <v>66</v>
      </c>
      <c r="P86" s="115" t="s">
        <v>767</v>
      </c>
      <c r="Q86" s="115" t="s">
        <v>112</v>
      </c>
      <c r="R86" s="116" t="s">
        <v>520</v>
      </c>
      <c r="S86" s="115" t="s">
        <v>69</v>
      </c>
      <c r="T86" s="117" t="s">
        <v>429</v>
      </c>
      <c r="U86" s="117" t="s">
        <v>124</v>
      </c>
      <c r="V86" s="118">
        <v>0</v>
      </c>
      <c r="W86" s="118">
        <f t="shared" si="14"/>
        <v>0</v>
      </c>
      <c r="X86" s="118" t="s">
        <v>125</v>
      </c>
      <c r="Y86" s="118"/>
      <c r="Z86" s="125" t="s">
        <v>143</v>
      </c>
      <c r="AA86" s="118"/>
      <c r="AB86" s="132" t="s">
        <v>125</v>
      </c>
      <c r="AC86" s="120"/>
      <c r="AD86" s="121"/>
      <c r="AE86" s="122" t="s">
        <v>1159</v>
      </c>
      <c r="AF86" s="126"/>
      <c r="AG86" s="114"/>
      <c r="AH86" s="21"/>
      <c r="AI86" s="21"/>
      <c r="AJ86" s="21"/>
      <c r="AK86" s="118"/>
      <c r="AL86" s="118" t="str">
        <f t="shared" si="12"/>
        <v/>
      </c>
      <c r="AM86" s="123"/>
      <c r="AN86" s="123"/>
      <c r="AO86" s="123"/>
      <c r="AP86" s="123"/>
      <c r="AQ86" s="123"/>
      <c r="AR86" s="123"/>
      <c r="AS86" s="123"/>
      <c r="AT86" s="123"/>
      <c r="AU86" s="123"/>
      <c r="AV86" s="123"/>
      <c r="AW86" s="124" t="str">
        <f t="shared" si="17"/>
        <v/>
      </c>
      <c r="AX86" s="124" t="str">
        <f t="shared" si="18"/>
        <v/>
      </c>
      <c r="AY86" s="124" t="str">
        <f t="shared" si="19"/>
        <v/>
      </c>
      <c r="AZ86" s="124" t="str">
        <f t="shared" si="20"/>
        <v/>
      </c>
      <c r="BA86" s="21"/>
      <c r="BB86" s="21"/>
      <c r="BC86" s="21"/>
      <c r="BD86" s="21"/>
      <c r="BE86" s="21"/>
      <c r="BF86" s="21"/>
      <c r="BG86" s="21"/>
      <c r="BH86" s="21"/>
      <c r="BI86" s="21"/>
      <c r="BJ86" s="21"/>
    </row>
    <row r="87" spans="1:62" ht="14" x14ac:dyDescent="0.15">
      <c r="A87" s="17">
        <v>83</v>
      </c>
      <c r="B87" s="21" t="s">
        <v>521</v>
      </c>
      <c r="C87" s="15">
        <v>3160903531</v>
      </c>
      <c r="D87" s="112">
        <v>44685</v>
      </c>
      <c r="E87" s="133" t="s">
        <v>480</v>
      </c>
      <c r="F87" s="15">
        <f t="shared" si="10"/>
        <v>3160903531</v>
      </c>
      <c r="G87" s="21" t="s">
        <v>62</v>
      </c>
      <c r="H87" s="15">
        <f t="shared" si="11"/>
        <v>0</v>
      </c>
      <c r="I87" s="21" t="s">
        <v>522</v>
      </c>
      <c r="J87" s="21" t="s">
        <v>345</v>
      </c>
      <c r="K87" s="21" t="s">
        <v>523</v>
      </c>
      <c r="L87" s="112">
        <v>44684</v>
      </c>
      <c r="M87" s="127">
        <v>9822</v>
      </c>
      <c r="N87" s="114">
        <v>44567</v>
      </c>
      <c r="O87" s="115" t="s">
        <v>66</v>
      </c>
      <c r="P87" s="115" t="s">
        <v>767</v>
      </c>
      <c r="Q87" s="115" t="s">
        <v>112</v>
      </c>
      <c r="R87" s="116" t="s">
        <v>524</v>
      </c>
      <c r="S87" s="115" t="s">
        <v>69</v>
      </c>
      <c r="T87" s="117" t="s">
        <v>429</v>
      </c>
      <c r="U87" s="117" t="s">
        <v>124</v>
      </c>
      <c r="V87" s="118">
        <v>0</v>
      </c>
      <c r="W87" s="118">
        <f t="shared" si="14"/>
        <v>0</v>
      </c>
      <c r="X87" s="118" t="s">
        <v>125</v>
      </c>
      <c r="Y87" s="118"/>
      <c r="Z87" s="118" t="s">
        <v>143</v>
      </c>
      <c r="AA87" s="118"/>
      <c r="AB87" s="132" t="s">
        <v>125</v>
      </c>
      <c r="AC87" s="120"/>
      <c r="AD87" s="121"/>
      <c r="AE87" s="122" t="s">
        <v>1159</v>
      </c>
      <c r="AF87" s="126"/>
      <c r="AG87" s="114"/>
      <c r="AH87" s="21"/>
      <c r="AI87" s="21"/>
      <c r="AJ87" s="21"/>
      <c r="AK87" s="118"/>
      <c r="AL87" s="118" t="str">
        <f t="shared" si="12"/>
        <v/>
      </c>
      <c r="AM87" s="123"/>
      <c r="AN87" s="123"/>
      <c r="AO87" s="123"/>
      <c r="AP87" s="123"/>
      <c r="AQ87" s="123"/>
      <c r="AR87" s="123"/>
      <c r="AS87" s="123"/>
      <c r="AT87" s="123"/>
      <c r="AU87" s="123"/>
      <c r="AV87" s="123"/>
      <c r="AW87" s="124" t="str">
        <f t="shared" si="17"/>
        <v/>
      </c>
      <c r="AX87" s="124" t="str">
        <f t="shared" si="18"/>
        <v/>
      </c>
      <c r="AY87" s="124" t="str">
        <f t="shared" si="19"/>
        <v/>
      </c>
      <c r="AZ87" s="124" t="str">
        <f t="shared" si="20"/>
        <v/>
      </c>
      <c r="BA87" s="21"/>
      <c r="BB87" s="21"/>
      <c r="BC87" s="21"/>
      <c r="BD87" s="21"/>
      <c r="BE87" s="21"/>
      <c r="BF87" s="21"/>
      <c r="BG87" s="21"/>
      <c r="BH87" s="21"/>
      <c r="BI87" s="21"/>
      <c r="BJ87" s="21"/>
    </row>
    <row r="88" spans="1:62" ht="14" x14ac:dyDescent="0.15">
      <c r="A88" s="17">
        <v>84</v>
      </c>
      <c r="B88" s="16" t="s">
        <v>525</v>
      </c>
      <c r="C88" s="15">
        <v>138218160</v>
      </c>
      <c r="D88" s="112">
        <v>44685</v>
      </c>
      <c r="E88" s="21" t="s">
        <v>85</v>
      </c>
      <c r="F88" s="15">
        <f t="shared" si="10"/>
        <v>138218160</v>
      </c>
      <c r="G88" s="21" t="s">
        <v>62</v>
      </c>
      <c r="H88" s="15">
        <f t="shared" si="11"/>
        <v>0</v>
      </c>
      <c r="I88" s="21" t="s">
        <v>489</v>
      </c>
      <c r="J88" s="21" t="s">
        <v>526</v>
      </c>
      <c r="K88" s="21" t="s">
        <v>523</v>
      </c>
      <c r="L88" s="112">
        <v>44684</v>
      </c>
      <c r="M88" s="127">
        <v>9822</v>
      </c>
      <c r="N88" s="114">
        <v>44567</v>
      </c>
      <c r="O88" s="115" t="s">
        <v>66</v>
      </c>
      <c r="P88" s="115" t="s">
        <v>767</v>
      </c>
      <c r="Q88" s="115" t="s">
        <v>112</v>
      </c>
      <c r="R88" s="116" t="s">
        <v>527</v>
      </c>
      <c r="S88" s="115" t="s">
        <v>69</v>
      </c>
      <c r="T88" s="117">
        <v>44704</v>
      </c>
      <c r="U88" s="117"/>
      <c r="V88" s="118">
        <v>124396344</v>
      </c>
      <c r="W88" s="118">
        <f t="shared" si="14"/>
        <v>124396344</v>
      </c>
      <c r="X88" s="118" t="s">
        <v>1154</v>
      </c>
      <c r="Y88" s="118"/>
      <c r="Z88" s="125" t="s">
        <v>79</v>
      </c>
      <c r="AA88" s="118">
        <v>0</v>
      </c>
      <c r="AB88" s="119" t="s">
        <v>528</v>
      </c>
      <c r="AC88" s="120">
        <v>44725</v>
      </c>
      <c r="AD88" s="121">
        <v>901584450</v>
      </c>
      <c r="AE88" s="122" t="s">
        <v>1300</v>
      </c>
      <c r="AF88" s="126">
        <v>44748</v>
      </c>
      <c r="AG88" s="114">
        <v>44966</v>
      </c>
      <c r="AH88" s="21" t="s">
        <v>399</v>
      </c>
      <c r="AI88" s="21" t="s">
        <v>494</v>
      </c>
      <c r="AJ88" s="21"/>
      <c r="AK88" s="118">
        <v>13147515</v>
      </c>
      <c r="AL88" s="118">
        <f t="shared" si="12"/>
        <v>111248829</v>
      </c>
      <c r="AM88" s="123"/>
      <c r="AN88" s="123"/>
      <c r="AO88" s="123"/>
      <c r="AP88" s="123"/>
      <c r="AQ88" s="123"/>
      <c r="AR88" s="123"/>
      <c r="AS88" s="123"/>
      <c r="AT88" s="123"/>
      <c r="AU88" s="123"/>
      <c r="AV88" s="123">
        <v>0.1</v>
      </c>
      <c r="AW88" s="124">
        <f t="shared" si="17"/>
        <v>13147515</v>
      </c>
      <c r="AX88" s="124">
        <f>ROUND((AL123+AL88)*50%/8.5,2)</f>
        <v>7836960.5300000003</v>
      </c>
      <c r="AY88" s="124">
        <f t="shared" si="19"/>
        <v>44499531.600000001</v>
      </c>
      <c r="AZ88" s="124">
        <f t="shared" si="20"/>
        <v>11124882.9</v>
      </c>
      <c r="BA88" s="21" t="s">
        <v>108</v>
      </c>
      <c r="BB88" s="21"/>
      <c r="BC88" s="21"/>
      <c r="BD88" s="21"/>
      <c r="BE88" s="21"/>
      <c r="BF88" s="21"/>
      <c r="BG88" s="21"/>
      <c r="BH88" s="21"/>
      <c r="BI88" s="21"/>
      <c r="BJ88" s="21"/>
    </row>
    <row r="89" spans="1:62" ht="14" x14ac:dyDescent="0.15">
      <c r="A89" s="17">
        <v>85</v>
      </c>
      <c r="B89" s="16" t="s">
        <v>529</v>
      </c>
      <c r="C89" s="15">
        <v>5267215922</v>
      </c>
      <c r="D89" s="112">
        <v>44686</v>
      </c>
      <c r="E89" s="21" t="s">
        <v>480</v>
      </c>
      <c r="F89" s="15">
        <f t="shared" si="10"/>
        <v>5267215922</v>
      </c>
      <c r="G89" s="21" t="s">
        <v>62</v>
      </c>
      <c r="H89" s="15">
        <f t="shared" si="11"/>
        <v>0</v>
      </c>
      <c r="I89" s="21" t="s">
        <v>530</v>
      </c>
      <c r="J89" s="21" t="s">
        <v>141</v>
      </c>
      <c r="K89" s="21" t="s">
        <v>531</v>
      </c>
      <c r="L89" s="112">
        <v>44686</v>
      </c>
      <c r="M89" s="127">
        <v>9822</v>
      </c>
      <c r="N89" s="114">
        <v>44567</v>
      </c>
      <c r="O89" s="115" t="s">
        <v>66</v>
      </c>
      <c r="P89" s="115" t="s">
        <v>767</v>
      </c>
      <c r="Q89" s="115" t="s">
        <v>112</v>
      </c>
      <c r="R89" s="116" t="s">
        <v>125</v>
      </c>
      <c r="S89" s="115" t="s">
        <v>69</v>
      </c>
      <c r="T89" s="117" t="s">
        <v>429</v>
      </c>
      <c r="U89" s="117" t="s">
        <v>124</v>
      </c>
      <c r="V89" s="118">
        <v>0</v>
      </c>
      <c r="W89" s="118">
        <f t="shared" si="14"/>
        <v>0</v>
      </c>
      <c r="X89" s="118" t="s">
        <v>125</v>
      </c>
      <c r="Y89" s="118"/>
      <c r="Z89" s="118" t="s">
        <v>453</v>
      </c>
      <c r="AA89" s="118">
        <v>0</v>
      </c>
      <c r="AB89" s="119" t="s">
        <v>125</v>
      </c>
      <c r="AC89" s="120"/>
      <c r="AD89" s="121"/>
      <c r="AE89" s="122" t="s">
        <v>1159</v>
      </c>
      <c r="AF89" s="126"/>
      <c r="AG89" s="114"/>
      <c r="AH89" s="21" t="s">
        <v>532</v>
      </c>
      <c r="AI89" s="21"/>
      <c r="AJ89" s="21"/>
      <c r="AK89" s="118"/>
      <c r="AL89" s="118" t="str">
        <f t="shared" si="12"/>
        <v/>
      </c>
      <c r="AM89" s="123"/>
      <c r="AN89" s="123"/>
      <c r="AO89" s="123"/>
      <c r="AP89" s="123"/>
      <c r="AQ89" s="123"/>
      <c r="AR89" s="123"/>
      <c r="AS89" s="123"/>
      <c r="AT89" s="123"/>
      <c r="AU89" s="123"/>
      <c r="AV89" s="123"/>
      <c r="AW89" s="124" t="str">
        <f t="shared" si="17"/>
        <v/>
      </c>
      <c r="AX89" s="124" t="str">
        <f>IF(AK89="","",ROUND(AL89/INT(LEFT(AH89,FIND("m",AH89)-1))*50%,0))</f>
        <v/>
      </c>
      <c r="AY89" s="124" t="str">
        <f t="shared" si="19"/>
        <v/>
      </c>
      <c r="AZ89" s="124" t="str">
        <f t="shared" si="20"/>
        <v/>
      </c>
      <c r="BA89" s="21"/>
      <c r="BB89" s="21"/>
      <c r="BC89" s="21"/>
      <c r="BD89" s="21"/>
      <c r="BE89" s="21"/>
      <c r="BF89" s="21"/>
      <c r="BG89" s="21"/>
      <c r="BH89" s="21"/>
      <c r="BI89" s="21"/>
      <c r="BJ89" s="21"/>
    </row>
    <row r="90" spans="1:62" ht="14" x14ac:dyDescent="0.15">
      <c r="A90" s="17">
        <v>86</v>
      </c>
      <c r="B90" s="16" t="s">
        <v>533</v>
      </c>
      <c r="C90" s="15">
        <v>230623300</v>
      </c>
      <c r="D90" s="112">
        <v>44686</v>
      </c>
      <c r="E90" s="21" t="s">
        <v>85</v>
      </c>
      <c r="F90" s="15">
        <f t="shared" si="10"/>
        <v>230623300</v>
      </c>
      <c r="G90" s="21" t="s">
        <v>62</v>
      </c>
      <c r="H90" s="15">
        <f t="shared" si="11"/>
        <v>0</v>
      </c>
      <c r="I90" s="21" t="s">
        <v>485</v>
      </c>
      <c r="J90" s="21" t="s">
        <v>87</v>
      </c>
      <c r="K90" s="21" t="s">
        <v>531</v>
      </c>
      <c r="L90" s="112">
        <v>44686</v>
      </c>
      <c r="M90" s="127">
        <v>9822</v>
      </c>
      <c r="N90" s="114">
        <v>44567</v>
      </c>
      <c r="O90" s="115" t="s">
        <v>66</v>
      </c>
      <c r="P90" s="115" t="s">
        <v>767</v>
      </c>
      <c r="Q90" s="115" t="s">
        <v>112</v>
      </c>
      <c r="R90" s="116" t="s">
        <v>125</v>
      </c>
      <c r="S90" s="115" t="s">
        <v>69</v>
      </c>
      <c r="T90" s="117" t="s">
        <v>429</v>
      </c>
      <c r="U90" s="117" t="s">
        <v>124</v>
      </c>
      <c r="V90" s="118">
        <v>0</v>
      </c>
      <c r="W90" s="118">
        <f>+V90</f>
        <v>0</v>
      </c>
      <c r="X90" s="118" t="s">
        <v>125</v>
      </c>
      <c r="Y90" s="118"/>
      <c r="Z90" s="118" t="s">
        <v>453</v>
      </c>
      <c r="AA90" s="118">
        <v>0</v>
      </c>
      <c r="AB90" s="119" t="s">
        <v>125</v>
      </c>
      <c r="AC90" s="120"/>
      <c r="AD90" s="121"/>
      <c r="AE90" s="122" t="s">
        <v>1159</v>
      </c>
      <c r="AF90" s="126"/>
      <c r="AG90" s="114"/>
      <c r="AH90" s="21" t="s">
        <v>81</v>
      </c>
      <c r="AI90" s="21"/>
      <c r="AJ90" s="21"/>
      <c r="AK90" s="118"/>
      <c r="AL90" s="118" t="str">
        <f t="shared" si="12"/>
        <v/>
      </c>
      <c r="AM90" s="123"/>
      <c r="AN90" s="123"/>
      <c r="AO90" s="123"/>
      <c r="AP90" s="123"/>
      <c r="AQ90" s="123"/>
      <c r="AR90" s="123"/>
      <c r="AS90" s="123"/>
      <c r="AT90" s="123"/>
      <c r="AU90" s="123"/>
      <c r="AV90" s="123"/>
      <c r="AW90" s="124" t="str">
        <f t="shared" si="17"/>
        <v/>
      </c>
      <c r="AX90" s="124" t="str">
        <f>IF(AK90="","",ROUND(AL90/INT(LEFT(AH90,FIND("m",AH90)-1))*50%,0))</f>
        <v/>
      </c>
      <c r="AY90" s="124" t="str">
        <f t="shared" si="19"/>
        <v/>
      </c>
      <c r="AZ90" s="124" t="str">
        <f t="shared" si="20"/>
        <v/>
      </c>
      <c r="BA90" s="21"/>
      <c r="BB90" s="21"/>
      <c r="BC90" s="21"/>
      <c r="BD90" s="21"/>
      <c r="BE90" s="21"/>
      <c r="BF90" s="21"/>
      <c r="BG90" s="21"/>
      <c r="BH90" s="21"/>
      <c r="BI90" s="21"/>
      <c r="BJ90" s="21"/>
    </row>
    <row r="91" spans="1:62" ht="14" x14ac:dyDescent="0.15">
      <c r="A91" s="17">
        <v>87</v>
      </c>
      <c r="B91" s="21" t="s">
        <v>207</v>
      </c>
      <c r="C91" s="15">
        <v>156422820</v>
      </c>
      <c r="D91" s="112">
        <v>44686</v>
      </c>
      <c r="E91" s="21" t="s">
        <v>61</v>
      </c>
      <c r="F91" s="15">
        <f t="shared" si="10"/>
        <v>156422820</v>
      </c>
      <c r="G91" s="21" t="s">
        <v>62</v>
      </c>
      <c r="H91" s="15">
        <f t="shared" si="11"/>
        <v>0</v>
      </c>
      <c r="I91" s="21" t="s">
        <v>208</v>
      </c>
      <c r="J91" s="21" t="s">
        <v>141</v>
      </c>
      <c r="K91" s="21" t="s">
        <v>534</v>
      </c>
      <c r="L91" s="112">
        <v>44683</v>
      </c>
      <c r="M91" s="127">
        <v>188121</v>
      </c>
      <c r="N91" s="114">
        <v>44550</v>
      </c>
      <c r="O91" s="115" t="s">
        <v>66</v>
      </c>
      <c r="P91" s="115" t="s">
        <v>767</v>
      </c>
      <c r="Q91" s="115" t="s">
        <v>112</v>
      </c>
      <c r="R91" s="116" t="s">
        <v>535</v>
      </c>
      <c r="S91" s="115" t="s">
        <v>536</v>
      </c>
      <c r="T91" s="117">
        <v>44683</v>
      </c>
      <c r="U91" s="117"/>
      <c r="V91" s="118">
        <v>154858591</v>
      </c>
      <c r="W91" s="118">
        <f t="shared" si="14"/>
        <v>154858591</v>
      </c>
      <c r="X91" s="118" t="s">
        <v>1154</v>
      </c>
      <c r="Y91" s="118"/>
      <c r="Z91" s="118" t="s">
        <v>70</v>
      </c>
      <c r="AA91" s="118"/>
      <c r="AB91" s="119" t="s">
        <v>537</v>
      </c>
      <c r="AC91" s="120">
        <v>44734</v>
      </c>
      <c r="AD91" s="121">
        <v>87069865</v>
      </c>
      <c r="AE91" s="122" t="s">
        <v>1268</v>
      </c>
      <c r="AF91" s="126">
        <v>44755</v>
      </c>
      <c r="AG91" s="114">
        <v>45389</v>
      </c>
      <c r="AH91" s="21" t="s">
        <v>115</v>
      </c>
      <c r="AI91" s="21" t="s">
        <v>538</v>
      </c>
      <c r="AJ91" s="21"/>
      <c r="AK91" s="118">
        <v>8336948</v>
      </c>
      <c r="AL91" s="118">
        <f t="shared" si="12"/>
        <v>146521643</v>
      </c>
      <c r="AM91" s="123"/>
      <c r="AN91" s="123"/>
      <c r="AO91" s="123"/>
      <c r="AP91" s="123"/>
      <c r="AQ91" s="123"/>
      <c r="AR91" s="123"/>
      <c r="AS91" s="123"/>
      <c r="AT91" s="123"/>
      <c r="AU91" s="123"/>
      <c r="AV91" s="123">
        <v>0.1</v>
      </c>
      <c r="AW91" s="124">
        <f t="shared" si="17"/>
        <v>8336948</v>
      </c>
      <c r="AX91" s="124">
        <f>IF(AK91="","",ROUND(AL91/INT(LEFT(AH91,FIND("m",AH91)-1))*50%,2))</f>
        <v>8140091.2800000003</v>
      </c>
      <c r="AY91" s="124">
        <f t="shared" si="19"/>
        <v>58608657.200000003</v>
      </c>
      <c r="AZ91" s="124">
        <f t="shared" si="20"/>
        <v>14652164.300000001</v>
      </c>
      <c r="BA91" s="21" t="s">
        <v>74</v>
      </c>
      <c r="BB91" s="21"/>
      <c r="BC91" s="21"/>
      <c r="BD91" s="21"/>
      <c r="BE91" s="21"/>
      <c r="BF91" s="21"/>
      <c r="BG91" s="21"/>
      <c r="BH91" s="21"/>
      <c r="BI91" s="21"/>
      <c r="BJ91" s="21"/>
    </row>
    <row r="92" spans="1:62" ht="14" x14ac:dyDescent="0.15">
      <c r="A92" s="17">
        <v>88</v>
      </c>
      <c r="B92" s="16" t="s">
        <v>539</v>
      </c>
      <c r="C92" s="15">
        <v>347701190</v>
      </c>
      <c r="D92" s="112">
        <v>44728</v>
      </c>
      <c r="E92" s="21" t="s">
        <v>61</v>
      </c>
      <c r="F92" s="15">
        <f t="shared" si="10"/>
        <v>347701190</v>
      </c>
      <c r="G92" s="21" t="s">
        <v>62</v>
      </c>
      <c r="H92" s="15">
        <f t="shared" si="11"/>
        <v>0</v>
      </c>
      <c r="I92" s="21" t="s">
        <v>171</v>
      </c>
      <c r="J92" s="21" t="s">
        <v>172</v>
      </c>
      <c r="K92" s="21" t="s">
        <v>540</v>
      </c>
      <c r="L92" s="112">
        <v>44728</v>
      </c>
      <c r="M92" s="127">
        <v>9822</v>
      </c>
      <c r="N92" s="114">
        <v>44567</v>
      </c>
      <c r="O92" s="115" t="s">
        <v>66</v>
      </c>
      <c r="P92" s="115" t="s">
        <v>767</v>
      </c>
      <c r="Q92" s="115" t="s">
        <v>112</v>
      </c>
      <c r="R92" s="116" t="s">
        <v>541</v>
      </c>
      <c r="S92" s="115" t="s">
        <v>69</v>
      </c>
      <c r="T92" s="117">
        <v>44761</v>
      </c>
      <c r="U92" s="117"/>
      <c r="V92" s="118">
        <v>316842709</v>
      </c>
      <c r="W92" s="118">
        <f t="shared" si="14"/>
        <v>316842709</v>
      </c>
      <c r="X92" s="118" t="s">
        <v>1154</v>
      </c>
      <c r="Y92" s="118"/>
      <c r="Z92" s="125" t="s">
        <v>79</v>
      </c>
      <c r="AA92" s="118">
        <v>0</v>
      </c>
      <c r="AB92" s="119" t="s">
        <v>542</v>
      </c>
      <c r="AC92" s="120">
        <v>44770</v>
      </c>
      <c r="AD92" s="121">
        <v>901587675</v>
      </c>
      <c r="AE92" s="122" t="s">
        <v>1312</v>
      </c>
      <c r="AF92" s="126">
        <v>44785</v>
      </c>
      <c r="AG92" s="114">
        <v>45104</v>
      </c>
      <c r="AH92" s="21" t="s">
        <v>81</v>
      </c>
      <c r="AI92" s="21" t="s">
        <v>543</v>
      </c>
      <c r="AJ92" s="21"/>
      <c r="AK92" s="118">
        <v>20699827</v>
      </c>
      <c r="AL92" s="118">
        <f t="shared" si="12"/>
        <v>296142882</v>
      </c>
      <c r="AM92" s="123"/>
      <c r="AN92" s="123"/>
      <c r="AO92" s="123"/>
      <c r="AP92" s="123"/>
      <c r="AQ92" s="123"/>
      <c r="AR92" s="123"/>
      <c r="AS92" s="123"/>
      <c r="AT92" s="123"/>
      <c r="AU92" s="123"/>
      <c r="AV92" s="123">
        <v>0.1</v>
      </c>
      <c r="AW92" s="124">
        <f t="shared" si="17"/>
        <v>20699827</v>
      </c>
      <c r="AX92" s="124">
        <f>IF(AK92="","",ROUND(AL92/INT(LEFT(AH92,FIND("m",AH92)-1))*50%,0))</f>
        <v>18508930</v>
      </c>
      <c r="AY92" s="124">
        <f t="shared" si="19"/>
        <v>118457152.8</v>
      </c>
      <c r="AZ92" s="124">
        <f t="shared" si="20"/>
        <v>29614288.199999999</v>
      </c>
      <c r="BA92" s="21" t="s">
        <v>117</v>
      </c>
      <c r="BB92" s="21"/>
      <c r="BC92" s="21"/>
      <c r="BD92" s="21"/>
      <c r="BE92" s="21"/>
      <c r="BF92" s="21"/>
      <c r="BG92" s="21"/>
      <c r="BH92" s="21"/>
      <c r="BI92" s="21"/>
      <c r="BJ92" s="21"/>
    </row>
    <row r="93" spans="1:62" ht="14" x14ac:dyDescent="0.15">
      <c r="A93" s="17">
        <v>89</v>
      </c>
      <c r="B93" s="16" t="s">
        <v>544</v>
      </c>
      <c r="C93" s="15">
        <v>178860700</v>
      </c>
      <c r="D93" s="112">
        <v>44728</v>
      </c>
      <c r="E93" s="21" t="s">
        <v>61</v>
      </c>
      <c r="F93" s="15">
        <f t="shared" si="10"/>
        <v>178860700</v>
      </c>
      <c r="G93" s="21" t="s">
        <v>62</v>
      </c>
      <c r="H93" s="15">
        <f t="shared" si="11"/>
        <v>0</v>
      </c>
      <c r="I93" s="21" t="s">
        <v>344</v>
      </c>
      <c r="J93" s="21" t="s">
        <v>345</v>
      </c>
      <c r="K93" s="21" t="s">
        <v>540</v>
      </c>
      <c r="L93" s="112">
        <v>44728</v>
      </c>
      <c r="M93" s="127">
        <v>9822</v>
      </c>
      <c r="N93" s="114">
        <v>44567</v>
      </c>
      <c r="O93" s="115" t="s">
        <v>66</v>
      </c>
      <c r="P93" s="115" t="s">
        <v>767</v>
      </c>
      <c r="Q93" s="115" t="s">
        <v>112</v>
      </c>
      <c r="R93" s="116" t="s">
        <v>545</v>
      </c>
      <c r="S93" s="115" t="s">
        <v>69</v>
      </c>
      <c r="T93" s="117">
        <v>44761</v>
      </c>
      <c r="U93" s="117"/>
      <c r="V93" s="118">
        <v>169202223</v>
      </c>
      <c r="W93" s="118">
        <f t="shared" si="14"/>
        <v>169202223</v>
      </c>
      <c r="X93" s="118" t="s">
        <v>1154</v>
      </c>
      <c r="Y93" s="118"/>
      <c r="Z93" s="118" t="s">
        <v>70</v>
      </c>
      <c r="AA93" s="118"/>
      <c r="AB93" s="119" t="s">
        <v>546</v>
      </c>
      <c r="AC93" s="120">
        <v>44770</v>
      </c>
      <c r="AD93" s="121">
        <v>900779202</v>
      </c>
      <c r="AE93" s="122" t="s">
        <v>1303</v>
      </c>
      <c r="AF93" s="117">
        <v>44796</v>
      </c>
      <c r="AG93" s="114">
        <v>45335</v>
      </c>
      <c r="AH93" s="21" t="s">
        <v>163</v>
      </c>
      <c r="AI93" s="21" t="s">
        <v>547</v>
      </c>
      <c r="AJ93" s="21"/>
      <c r="AK93" s="118">
        <v>11740579</v>
      </c>
      <c r="AL93" s="118">
        <f t="shared" si="12"/>
        <v>157461644</v>
      </c>
      <c r="AM93" s="123"/>
      <c r="AN93" s="123"/>
      <c r="AO93" s="123"/>
      <c r="AP93" s="123"/>
      <c r="AQ93" s="123"/>
      <c r="AR93" s="123"/>
      <c r="AS93" s="123"/>
      <c r="AT93" s="123"/>
      <c r="AU93" s="123"/>
      <c r="AV93" s="123">
        <v>0.1</v>
      </c>
      <c r="AW93" s="124">
        <f t="shared" si="17"/>
        <v>11740579</v>
      </c>
      <c r="AX93" s="124">
        <f>IF(AK93="","",ROUND(AL93/INT(LEFT(AH93,FIND("m",AH93)-1))*50%,2))</f>
        <v>13121803.67</v>
      </c>
      <c r="AY93" s="124">
        <f t="shared" si="19"/>
        <v>62984657.600000001</v>
      </c>
      <c r="AZ93" s="124">
        <f t="shared" si="20"/>
        <v>15746164.4</v>
      </c>
      <c r="BA93" s="21" t="s">
        <v>257</v>
      </c>
      <c r="BB93" s="21"/>
      <c r="BC93" s="21"/>
      <c r="BD93" s="21"/>
      <c r="BE93" s="21"/>
      <c r="BF93" s="21"/>
      <c r="BG93" s="21"/>
      <c r="BH93" s="21"/>
      <c r="BI93" s="21"/>
      <c r="BJ93" s="21"/>
    </row>
    <row r="94" spans="1:62" ht="14" x14ac:dyDescent="0.15">
      <c r="A94" s="17">
        <v>90</v>
      </c>
      <c r="B94" s="16" t="s">
        <v>548</v>
      </c>
      <c r="C94" s="15">
        <v>165548000</v>
      </c>
      <c r="D94" s="112">
        <v>44811</v>
      </c>
      <c r="E94" s="21" t="s">
        <v>61</v>
      </c>
      <c r="F94" s="15">
        <f t="shared" si="10"/>
        <v>165548000</v>
      </c>
      <c r="G94" s="21" t="s">
        <v>62</v>
      </c>
      <c r="H94" s="15">
        <f t="shared" si="11"/>
        <v>0</v>
      </c>
      <c r="I94" s="21" t="s">
        <v>549</v>
      </c>
      <c r="J94" s="21" t="s">
        <v>437</v>
      </c>
      <c r="K94" s="21" t="s">
        <v>550</v>
      </c>
      <c r="L94" s="112">
        <v>44771</v>
      </c>
      <c r="M94" s="127">
        <v>9822</v>
      </c>
      <c r="N94" s="114">
        <v>44567</v>
      </c>
      <c r="O94" s="115" t="s">
        <v>66</v>
      </c>
      <c r="P94" s="115" t="s">
        <v>767</v>
      </c>
      <c r="Q94" s="115" t="s">
        <v>112</v>
      </c>
      <c r="R94" s="116" t="s">
        <v>551</v>
      </c>
      <c r="S94" s="115" t="s">
        <v>69</v>
      </c>
      <c r="T94" s="117">
        <v>44811</v>
      </c>
      <c r="U94" s="117"/>
      <c r="V94" s="118">
        <v>155863441</v>
      </c>
      <c r="W94" s="118">
        <f t="shared" si="14"/>
        <v>155863441</v>
      </c>
      <c r="X94" s="118" t="s">
        <v>1154</v>
      </c>
      <c r="Y94" s="118"/>
      <c r="Z94" s="118" t="s">
        <v>79</v>
      </c>
      <c r="AA94" s="118"/>
      <c r="AB94" s="119" t="s">
        <v>552</v>
      </c>
      <c r="AC94" s="120">
        <v>44823</v>
      </c>
      <c r="AD94" s="121">
        <v>79557205</v>
      </c>
      <c r="AE94" s="122" t="s">
        <v>1302</v>
      </c>
      <c r="AF94" s="126">
        <v>44848</v>
      </c>
      <c r="AG94" s="114">
        <v>45245</v>
      </c>
      <c r="AH94" s="21" t="s">
        <v>163</v>
      </c>
      <c r="AI94" s="21" t="s">
        <v>553</v>
      </c>
      <c r="AJ94" s="21"/>
      <c r="AK94" s="118">
        <v>11792400</v>
      </c>
      <c r="AL94" s="118">
        <f t="shared" si="12"/>
        <v>144071041</v>
      </c>
      <c r="AM94" s="123"/>
      <c r="AN94" s="123"/>
      <c r="AO94" s="123"/>
      <c r="AP94" s="123"/>
      <c r="AQ94" s="123"/>
      <c r="AR94" s="123"/>
      <c r="AS94" s="123"/>
      <c r="AT94" s="123"/>
      <c r="AU94" s="123"/>
      <c r="AV94" s="123">
        <v>0.1</v>
      </c>
      <c r="AW94" s="124">
        <f t="shared" si="17"/>
        <v>11792400</v>
      </c>
      <c r="AX94" s="124">
        <f>IF(AK94="","",ROUND(AL94/INT(LEFT(AH94,FIND("m",AH94)-1))*50%,0))</f>
        <v>12005920</v>
      </c>
      <c r="AY94" s="124">
        <f t="shared" si="19"/>
        <v>57628416.399999999</v>
      </c>
      <c r="AZ94" s="124">
        <f t="shared" si="20"/>
        <v>14407104.1</v>
      </c>
      <c r="BA94" s="21" t="s">
        <v>554</v>
      </c>
      <c r="BB94" s="21"/>
      <c r="BC94" s="21"/>
      <c r="BD94" s="21"/>
      <c r="BE94" s="21"/>
      <c r="BF94" s="21"/>
      <c r="BG94" s="21"/>
      <c r="BH94" s="21"/>
      <c r="BI94" s="21"/>
      <c r="BJ94" s="21"/>
    </row>
    <row r="95" spans="1:62" ht="14" x14ac:dyDescent="0.15">
      <c r="A95" s="17">
        <v>91</v>
      </c>
      <c r="B95" s="16" t="s">
        <v>555</v>
      </c>
      <c r="C95" s="15">
        <v>687183123</v>
      </c>
      <c r="D95" s="112">
        <v>44781</v>
      </c>
      <c r="E95" s="21" t="s">
        <v>480</v>
      </c>
      <c r="F95" s="15">
        <f t="shared" si="10"/>
        <v>687183123</v>
      </c>
      <c r="G95" s="21" t="s">
        <v>62</v>
      </c>
      <c r="H95" s="15">
        <f t="shared" si="11"/>
        <v>0</v>
      </c>
      <c r="I95" s="21" t="s">
        <v>489</v>
      </c>
      <c r="J95" s="21" t="s">
        <v>489</v>
      </c>
      <c r="K95" s="21" t="s">
        <v>556</v>
      </c>
      <c r="L95" s="112">
        <v>44777</v>
      </c>
      <c r="M95" s="127">
        <v>9822</v>
      </c>
      <c r="N95" s="114">
        <v>44567</v>
      </c>
      <c r="O95" s="115" t="s">
        <v>66</v>
      </c>
      <c r="P95" s="115" t="s">
        <v>767</v>
      </c>
      <c r="Q95" s="115" t="s">
        <v>112</v>
      </c>
      <c r="R95" s="116" t="s">
        <v>491</v>
      </c>
      <c r="S95" s="115" t="s">
        <v>69</v>
      </c>
      <c r="T95" s="117">
        <v>44781</v>
      </c>
      <c r="U95" s="117"/>
      <c r="V95" s="118">
        <f>F95</f>
        <v>687183123</v>
      </c>
      <c r="W95" s="118"/>
      <c r="X95" s="118" t="s">
        <v>1154</v>
      </c>
      <c r="Y95" s="118">
        <f t="shared" ref="Y95:Y100" si="21">+V95</f>
        <v>687183123</v>
      </c>
      <c r="Z95" s="125" t="s">
        <v>79</v>
      </c>
      <c r="AA95" s="118">
        <v>0</v>
      </c>
      <c r="AB95" s="119" t="s">
        <v>492</v>
      </c>
      <c r="AC95" s="120">
        <v>44781</v>
      </c>
      <c r="AD95" s="121">
        <v>901593328</v>
      </c>
      <c r="AE95" s="122" t="s">
        <v>1308</v>
      </c>
      <c r="AF95" s="126"/>
      <c r="AG95" s="114"/>
      <c r="AH95" s="21" t="s">
        <v>532</v>
      </c>
      <c r="AI95" s="21"/>
      <c r="AJ95" s="21"/>
      <c r="AK95" s="118">
        <v>45249169</v>
      </c>
      <c r="AL95" s="118">
        <f t="shared" si="12"/>
        <v>641933954</v>
      </c>
      <c r="AM95" s="123">
        <v>0.22720000000000001</v>
      </c>
      <c r="AN95" s="123">
        <v>0.01</v>
      </c>
      <c r="AO95" s="123">
        <v>0.05</v>
      </c>
      <c r="AP95" s="123"/>
      <c r="AQ95" s="123"/>
      <c r="AR95" s="123"/>
      <c r="AS95" s="123"/>
      <c r="AT95" s="123"/>
      <c r="AU95" s="123"/>
      <c r="AV95" s="123">
        <v>0.1</v>
      </c>
      <c r="AW95" s="124">
        <f>+AK95</f>
        <v>45249169</v>
      </c>
      <c r="AX95" s="124">
        <f>IF(AK95="","",ROUND(AL95*0%,2))</f>
        <v>0</v>
      </c>
      <c r="AY95" s="124">
        <f>IF(AK95="","",ROUND(AL95*100%,2))</f>
        <v>641933954</v>
      </c>
      <c r="AZ95" s="124">
        <f>IF(AK95="","",ROUND(AL95*0%,2))</f>
        <v>0</v>
      </c>
      <c r="BA95" s="21" t="s">
        <v>108</v>
      </c>
      <c r="BB95" s="21"/>
      <c r="BC95" s="21"/>
      <c r="BD95" s="21"/>
      <c r="BE95" s="21"/>
      <c r="BF95" s="21"/>
      <c r="BG95" s="21"/>
      <c r="BH95" s="21"/>
      <c r="BI95" s="21"/>
      <c r="BJ95" s="21"/>
    </row>
    <row r="96" spans="1:62" ht="14" x14ac:dyDescent="0.15">
      <c r="A96" s="17">
        <v>92</v>
      </c>
      <c r="B96" s="16" t="s">
        <v>557</v>
      </c>
      <c r="C96" s="15">
        <v>19085966</v>
      </c>
      <c r="D96" s="112">
        <v>44781</v>
      </c>
      <c r="E96" s="21" t="s">
        <v>85</v>
      </c>
      <c r="F96" s="15">
        <f t="shared" si="10"/>
        <v>19085966</v>
      </c>
      <c r="G96" s="21" t="s">
        <v>62</v>
      </c>
      <c r="H96" s="15">
        <f t="shared" si="11"/>
        <v>0</v>
      </c>
      <c r="I96" s="21" t="s">
        <v>489</v>
      </c>
      <c r="J96" s="21" t="s">
        <v>489</v>
      </c>
      <c r="K96" s="21" t="s">
        <v>558</v>
      </c>
      <c r="L96" s="112">
        <v>44777</v>
      </c>
      <c r="M96" s="127">
        <v>9822</v>
      </c>
      <c r="N96" s="114">
        <v>44567</v>
      </c>
      <c r="O96" s="115" t="s">
        <v>66</v>
      </c>
      <c r="P96" s="115" t="s">
        <v>767</v>
      </c>
      <c r="Q96" s="115" t="s">
        <v>112</v>
      </c>
      <c r="R96" s="116" t="s">
        <v>527</v>
      </c>
      <c r="S96" s="115" t="s">
        <v>69</v>
      </c>
      <c r="T96" s="117">
        <v>44781</v>
      </c>
      <c r="U96" s="117"/>
      <c r="V96" s="118">
        <f>F96</f>
        <v>19085966</v>
      </c>
      <c r="W96" s="118"/>
      <c r="X96" s="118" t="s">
        <v>1154</v>
      </c>
      <c r="Y96" s="118">
        <f t="shared" si="21"/>
        <v>19085966</v>
      </c>
      <c r="Z96" s="125" t="s">
        <v>79</v>
      </c>
      <c r="AA96" s="118">
        <v>0</v>
      </c>
      <c r="AB96" s="119" t="s">
        <v>528</v>
      </c>
      <c r="AC96" s="120">
        <v>44781</v>
      </c>
      <c r="AD96" s="121">
        <v>901584450</v>
      </c>
      <c r="AE96" s="122" t="s">
        <v>1300</v>
      </c>
      <c r="AF96" s="126"/>
      <c r="AG96" s="114"/>
      <c r="AH96" s="21" t="s">
        <v>532</v>
      </c>
      <c r="AI96" s="21"/>
      <c r="AJ96" s="21"/>
      <c r="AK96" s="118">
        <v>19085966</v>
      </c>
      <c r="AL96" s="118">
        <f t="shared" si="12"/>
        <v>0</v>
      </c>
      <c r="AM96" s="123"/>
      <c r="AN96" s="123"/>
      <c r="AO96" s="123"/>
      <c r="AP96" s="123"/>
      <c r="AQ96" s="123"/>
      <c r="AR96" s="123"/>
      <c r="AS96" s="123"/>
      <c r="AT96" s="123"/>
      <c r="AU96" s="123"/>
      <c r="AV96" s="123">
        <v>0.1</v>
      </c>
      <c r="AW96" s="124">
        <f>IF(AK96="","",AK96)</f>
        <v>19085966</v>
      </c>
      <c r="AX96" s="124">
        <f>IF(AK96="","",ROUND(AL96/INT(LEFT(AH96,FIND("m",AH96)-1))*50%,0))</f>
        <v>0</v>
      </c>
      <c r="AY96" s="124">
        <f>IF(AK96="","",ROUND(AL96*40%,2))</f>
        <v>0</v>
      </c>
      <c r="AZ96" s="124">
        <f t="shared" ref="AZ96:AZ106" si="22">IF(AK96="","",ROUND(AL96*10%,2))</f>
        <v>0</v>
      </c>
      <c r="BA96" s="21"/>
      <c r="BB96" s="21"/>
      <c r="BC96" s="21"/>
      <c r="BD96" s="21"/>
      <c r="BE96" s="21"/>
      <c r="BF96" s="21"/>
      <c r="BG96" s="21"/>
      <c r="BH96" s="21"/>
      <c r="BI96" s="21"/>
      <c r="BJ96" s="21"/>
    </row>
    <row r="97" spans="1:62" ht="14" x14ac:dyDescent="0.15">
      <c r="A97" s="17">
        <v>93</v>
      </c>
      <c r="B97" s="16" t="s">
        <v>559</v>
      </c>
      <c r="C97" s="15">
        <v>110041254</v>
      </c>
      <c r="D97" s="112">
        <v>44789</v>
      </c>
      <c r="E97" s="21" t="s">
        <v>61</v>
      </c>
      <c r="F97" s="15">
        <f t="shared" si="10"/>
        <v>110041254</v>
      </c>
      <c r="G97" s="21" t="s">
        <v>62</v>
      </c>
      <c r="H97" s="15" t="s">
        <v>560</v>
      </c>
      <c r="I97" s="21" t="s">
        <v>561</v>
      </c>
      <c r="J97" s="21" t="s">
        <v>417</v>
      </c>
      <c r="K97" s="21" t="s">
        <v>562</v>
      </c>
      <c r="L97" s="112">
        <v>44785</v>
      </c>
      <c r="M97" s="113">
        <v>188421</v>
      </c>
      <c r="N97" s="114">
        <v>44550</v>
      </c>
      <c r="O97" s="115" t="s">
        <v>66</v>
      </c>
      <c r="P97" s="115" t="s">
        <v>767</v>
      </c>
      <c r="Q97" s="115" t="s">
        <v>112</v>
      </c>
      <c r="R97" s="116" t="s">
        <v>419</v>
      </c>
      <c r="S97" s="115" t="s">
        <v>69</v>
      </c>
      <c r="T97" s="117">
        <v>44796</v>
      </c>
      <c r="U97" s="117"/>
      <c r="V97" s="118">
        <f>F97</f>
        <v>110041254</v>
      </c>
      <c r="W97" s="118"/>
      <c r="X97" s="118" t="s">
        <v>1352</v>
      </c>
      <c r="Y97" s="118">
        <f t="shared" si="21"/>
        <v>110041254</v>
      </c>
      <c r="Z97" s="118" t="s">
        <v>70</v>
      </c>
      <c r="AA97" s="118"/>
      <c r="AB97" s="119" t="s">
        <v>420</v>
      </c>
      <c r="AC97" s="120">
        <v>44796</v>
      </c>
      <c r="AD97" s="121">
        <v>890115120</v>
      </c>
      <c r="AE97" s="122" t="s">
        <v>1271</v>
      </c>
      <c r="AF97" s="126"/>
      <c r="AG97" s="114"/>
      <c r="AH97" s="21" t="s">
        <v>563</v>
      </c>
      <c r="AI97" s="21"/>
      <c r="AJ97" s="21"/>
      <c r="AK97" s="118">
        <v>0</v>
      </c>
      <c r="AL97" s="118">
        <f>+V97</f>
        <v>110041254</v>
      </c>
      <c r="AM97" s="123"/>
      <c r="AN97" s="123"/>
      <c r="AO97" s="123"/>
      <c r="AP97" s="123"/>
      <c r="AQ97" s="123"/>
      <c r="AR97" s="123"/>
      <c r="AS97" s="123"/>
      <c r="AT97" s="123"/>
      <c r="AU97" s="123"/>
      <c r="AV97" s="123"/>
      <c r="AW97" s="124">
        <f>IF(AK97="","",AK97)</f>
        <v>0</v>
      </c>
      <c r="AX97" s="124">
        <f>+AL97/(55/30)*50%</f>
        <v>30011251.090909094</v>
      </c>
      <c r="AY97" s="124">
        <f>IF(AK97="","",ROUND(AL97*40%,2))</f>
        <v>44016501.600000001</v>
      </c>
      <c r="AZ97" s="124">
        <f t="shared" si="22"/>
        <v>11004125.4</v>
      </c>
      <c r="BA97" s="21" t="s">
        <v>108</v>
      </c>
      <c r="BB97" s="21"/>
      <c r="BC97" s="21"/>
      <c r="BD97" s="21"/>
      <c r="BE97" s="21"/>
      <c r="BF97" s="21"/>
      <c r="BG97" s="21"/>
      <c r="BH97" s="21"/>
      <c r="BI97" s="21"/>
      <c r="BJ97" s="21"/>
    </row>
    <row r="98" spans="1:62" ht="14" x14ac:dyDescent="0.15">
      <c r="A98" s="17">
        <v>94</v>
      </c>
      <c r="B98" s="16" t="s">
        <v>564</v>
      </c>
      <c r="C98" s="15">
        <v>10649445</v>
      </c>
      <c r="D98" s="112">
        <v>44855</v>
      </c>
      <c r="E98" s="21" t="s">
        <v>61</v>
      </c>
      <c r="F98" s="15">
        <v>10649445</v>
      </c>
      <c r="G98" s="21" t="s">
        <v>62</v>
      </c>
      <c r="H98" s="15" t="s">
        <v>560</v>
      </c>
      <c r="I98" s="21" t="s">
        <v>565</v>
      </c>
      <c r="J98" s="21" t="s">
        <v>437</v>
      </c>
      <c r="K98" s="21" t="s">
        <v>566</v>
      </c>
      <c r="L98" s="112">
        <v>44855</v>
      </c>
      <c r="M98" s="127">
        <v>188021</v>
      </c>
      <c r="N98" s="114">
        <v>44550</v>
      </c>
      <c r="O98" s="115" t="s">
        <v>66</v>
      </c>
      <c r="P98" s="115" t="s">
        <v>767</v>
      </c>
      <c r="Q98" s="115" t="s">
        <v>112</v>
      </c>
      <c r="R98" s="116" t="s">
        <v>438</v>
      </c>
      <c r="S98" s="115" t="s">
        <v>69</v>
      </c>
      <c r="T98" s="117">
        <v>44859</v>
      </c>
      <c r="U98" s="117"/>
      <c r="V98" s="15">
        <v>10649445</v>
      </c>
      <c r="W98" s="15"/>
      <c r="X98" s="118" t="s">
        <v>1154</v>
      </c>
      <c r="Y98" s="118">
        <f t="shared" si="21"/>
        <v>10649445</v>
      </c>
      <c r="Z98" s="118" t="s">
        <v>79</v>
      </c>
      <c r="AA98" s="15">
        <v>0</v>
      </c>
      <c r="AB98" s="119" t="s">
        <v>439</v>
      </c>
      <c r="AC98" s="120"/>
      <c r="AD98" s="121">
        <v>900779202</v>
      </c>
      <c r="AE98" s="122" t="s">
        <v>1303</v>
      </c>
      <c r="AF98" s="126"/>
      <c r="AG98" s="114">
        <v>44961</v>
      </c>
      <c r="AH98" s="21" t="s">
        <v>567</v>
      </c>
      <c r="AI98" s="21"/>
      <c r="AJ98" s="21"/>
      <c r="AK98" s="118">
        <v>0</v>
      </c>
      <c r="AL98" s="118">
        <v>10649445</v>
      </c>
      <c r="AM98" s="123"/>
      <c r="AN98" s="123"/>
      <c r="AO98" s="123"/>
      <c r="AP98" s="123"/>
      <c r="AQ98" s="123"/>
      <c r="AR98" s="123"/>
      <c r="AS98" s="123"/>
      <c r="AT98" s="123"/>
      <c r="AU98" s="123"/>
      <c r="AV98" s="123"/>
      <c r="AW98" s="124"/>
      <c r="AX98" s="124">
        <f>IF(AK98="","",ROUND(AL98*0.9,2))</f>
        <v>9584500.5</v>
      </c>
      <c r="AY98" s="124"/>
      <c r="AZ98" s="124">
        <f t="shared" si="22"/>
        <v>1064944.5</v>
      </c>
      <c r="BA98" s="21" t="s">
        <v>299</v>
      </c>
      <c r="BB98" s="21"/>
      <c r="BC98" s="21"/>
      <c r="BD98" s="21"/>
      <c r="BE98" s="21"/>
      <c r="BF98" s="21"/>
      <c r="BG98" s="21"/>
      <c r="BH98" s="21"/>
      <c r="BI98" s="21"/>
      <c r="BJ98" s="21"/>
    </row>
    <row r="99" spans="1:62" ht="14" x14ac:dyDescent="0.15">
      <c r="A99" s="17">
        <v>95</v>
      </c>
      <c r="B99" s="16" t="s">
        <v>568</v>
      </c>
      <c r="C99" s="15">
        <v>7510446</v>
      </c>
      <c r="D99" s="112">
        <v>44873</v>
      </c>
      <c r="E99" s="21" t="s">
        <v>61</v>
      </c>
      <c r="F99" s="15">
        <f t="shared" ref="F99:F162" si="23">C99</f>
        <v>7510446</v>
      </c>
      <c r="G99" s="21" t="s">
        <v>62</v>
      </c>
      <c r="H99" s="15">
        <v>0</v>
      </c>
      <c r="I99" s="21" t="s">
        <v>294</v>
      </c>
      <c r="J99" s="21" t="s">
        <v>295</v>
      </c>
      <c r="K99" s="21" t="s">
        <v>569</v>
      </c>
      <c r="L99" s="112">
        <v>44869</v>
      </c>
      <c r="M99" s="127">
        <v>188021</v>
      </c>
      <c r="N99" s="114">
        <v>44550</v>
      </c>
      <c r="O99" s="115" t="s">
        <v>66</v>
      </c>
      <c r="P99" s="115" t="s">
        <v>767</v>
      </c>
      <c r="Q99" s="115" t="s">
        <v>112</v>
      </c>
      <c r="R99" s="116" t="s">
        <v>423</v>
      </c>
      <c r="S99" s="115" t="s">
        <v>69</v>
      </c>
      <c r="T99" s="117">
        <v>44961</v>
      </c>
      <c r="U99" s="117"/>
      <c r="V99" s="118">
        <v>7510446</v>
      </c>
      <c r="W99" s="118"/>
      <c r="X99" s="118" t="s">
        <v>1154</v>
      </c>
      <c r="Y99" s="118">
        <f t="shared" si="21"/>
        <v>7510446</v>
      </c>
      <c r="Z99" s="118" t="s">
        <v>79</v>
      </c>
      <c r="AA99" s="118">
        <v>0</v>
      </c>
      <c r="AB99" s="119" t="s">
        <v>424</v>
      </c>
      <c r="AC99" s="120">
        <v>44961</v>
      </c>
      <c r="AD99" s="121">
        <v>79557205</v>
      </c>
      <c r="AE99" s="122" t="s">
        <v>1302</v>
      </c>
      <c r="AF99" s="126"/>
      <c r="AG99" s="114"/>
      <c r="AH99" s="21" t="s">
        <v>425</v>
      </c>
      <c r="AI99" s="21"/>
      <c r="AJ99" s="21"/>
      <c r="AK99" s="118">
        <v>0</v>
      </c>
      <c r="AL99" s="118">
        <f>+V99</f>
        <v>7510446</v>
      </c>
      <c r="AM99" s="123"/>
      <c r="AN99" s="123"/>
      <c r="AO99" s="123"/>
      <c r="AP99" s="123"/>
      <c r="AQ99" s="123"/>
      <c r="AR99" s="123"/>
      <c r="AS99" s="123"/>
      <c r="AT99" s="123"/>
      <c r="AU99" s="123"/>
      <c r="AV99" s="123"/>
      <c r="AW99" s="124">
        <f>IF(AK99="","",AK99)</f>
        <v>0</v>
      </c>
      <c r="AX99" s="124">
        <f>+AL99*90%</f>
        <v>6759401.4000000004</v>
      </c>
      <c r="AY99" s="124"/>
      <c r="AZ99" s="124">
        <f t="shared" si="22"/>
        <v>751044.6</v>
      </c>
      <c r="BA99" s="21"/>
      <c r="BB99" s="21"/>
      <c r="BC99" s="21"/>
      <c r="BD99" s="21"/>
      <c r="BE99" s="21"/>
      <c r="BF99" s="21"/>
      <c r="BG99" s="21"/>
      <c r="BH99" s="21"/>
      <c r="BI99" s="21"/>
      <c r="BJ99" s="21"/>
    </row>
    <row r="100" spans="1:62" ht="14" x14ac:dyDescent="0.15">
      <c r="A100" s="17">
        <v>96</v>
      </c>
      <c r="B100" s="16" t="s">
        <v>570</v>
      </c>
      <c r="C100" s="15">
        <v>23321115</v>
      </c>
      <c r="D100" s="112">
        <v>44886</v>
      </c>
      <c r="E100" s="21" t="s">
        <v>61</v>
      </c>
      <c r="F100" s="15">
        <f t="shared" si="23"/>
        <v>23321115</v>
      </c>
      <c r="G100" s="21" t="s">
        <v>62</v>
      </c>
      <c r="H100" s="15">
        <v>0</v>
      </c>
      <c r="I100" s="21" t="s">
        <v>167</v>
      </c>
      <c r="J100" s="21" t="s">
        <v>102</v>
      </c>
      <c r="K100" s="21" t="s">
        <v>571</v>
      </c>
      <c r="L100" s="112">
        <v>44883</v>
      </c>
      <c r="M100" s="127">
        <v>176921</v>
      </c>
      <c r="N100" s="114">
        <v>44477</v>
      </c>
      <c r="O100" s="115" t="s">
        <v>66</v>
      </c>
      <c r="P100" s="115" t="s">
        <v>767</v>
      </c>
      <c r="Q100" s="115" t="s">
        <v>112</v>
      </c>
      <c r="R100" s="116" t="s">
        <v>168</v>
      </c>
      <c r="S100" s="115" t="s">
        <v>69</v>
      </c>
      <c r="T100" s="117">
        <v>44887</v>
      </c>
      <c r="U100" s="117"/>
      <c r="V100" s="118">
        <v>23321115</v>
      </c>
      <c r="W100" s="118"/>
      <c r="X100" s="118" t="s">
        <v>1154</v>
      </c>
      <c r="Y100" s="118">
        <f t="shared" si="21"/>
        <v>23321115</v>
      </c>
      <c r="Z100" s="118" t="s">
        <v>79</v>
      </c>
      <c r="AA100" s="118">
        <v>0</v>
      </c>
      <c r="AB100" s="119" t="s">
        <v>169</v>
      </c>
      <c r="AC100" s="120">
        <v>44887</v>
      </c>
      <c r="AD100" s="121">
        <v>890115120</v>
      </c>
      <c r="AE100" s="122" t="s">
        <v>1271</v>
      </c>
      <c r="AF100" s="126"/>
      <c r="AG100" s="114"/>
      <c r="AH100" s="21" t="s">
        <v>532</v>
      </c>
      <c r="AI100" s="21"/>
      <c r="AJ100" s="21"/>
      <c r="AK100" s="118">
        <v>0</v>
      </c>
      <c r="AL100" s="118">
        <v>23321115</v>
      </c>
      <c r="AM100" s="123"/>
      <c r="AN100" s="123"/>
      <c r="AO100" s="123"/>
      <c r="AP100" s="123"/>
      <c r="AQ100" s="123"/>
      <c r="AR100" s="123"/>
      <c r="AS100" s="123"/>
      <c r="AT100" s="123"/>
      <c r="AU100" s="123"/>
      <c r="AV100" s="123"/>
      <c r="AW100" s="124"/>
      <c r="AX100" s="124">
        <f>+AL100*0.9/1.5</f>
        <v>13992669</v>
      </c>
      <c r="AY100" s="124"/>
      <c r="AZ100" s="124">
        <f t="shared" si="22"/>
        <v>2332111.5</v>
      </c>
      <c r="BA100" s="21"/>
      <c r="BB100" s="21"/>
      <c r="BC100" s="21"/>
      <c r="BD100" s="21"/>
      <c r="BE100" s="21"/>
      <c r="BF100" s="21"/>
      <c r="BG100" s="21"/>
      <c r="BH100" s="21"/>
      <c r="BI100" s="21"/>
      <c r="BJ100" s="21"/>
    </row>
    <row r="101" spans="1:62" ht="14" x14ac:dyDescent="0.15">
      <c r="A101" s="17">
        <v>97</v>
      </c>
      <c r="B101" s="16" t="s">
        <v>572</v>
      </c>
      <c r="C101" s="15">
        <v>1390000000</v>
      </c>
      <c r="D101" s="112">
        <v>44896</v>
      </c>
      <c r="E101" s="21" t="s">
        <v>573</v>
      </c>
      <c r="F101" s="15">
        <f t="shared" si="23"/>
        <v>1390000000</v>
      </c>
      <c r="G101" s="21" t="s">
        <v>62</v>
      </c>
      <c r="H101" s="15">
        <v>0</v>
      </c>
      <c r="I101" s="21" t="s">
        <v>401</v>
      </c>
      <c r="J101" s="21" t="s">
        <v>172</v>
      </c>
      <c r="K101" s="21" t="s">
        <v>574</v>
      </c>
      <c r="L101" s="112">
        <v>44883</v>
      </c>
      <c r="M101" s="127">
        <v>9822</v>
      </c>
      <c r="N101" s="114">
        <v>44567</v>
      </c>
      <c r="O101" s="115" t="s">
        <v>66</v>
      </c>
      <c r="P101" s="115" t="s">
        <v>767</v>
      </c>
      <c r="Q101" s="115" t="s">
        <v>112</v>
      </c>
      <c r="R101" s="116" t="s">
        <v>575</v>
      </c>
      <c r="S101" s="115" t="s">
        <v>576</v>
      </c>
      <c r="T101" s="120">
        <v>44900</v>
      </c>
      <c r="U101" s="117"/>
      <c r="V101" s="118">
        <v>1390000000</v>
      </c>
      <c r="W101" s="118">
        <f>+V101</f>
        <v>1390000000</v>
      </c>
      <c r="X101" s="118" t="s">
        <v>1154</v>
      </c>
      <c r="Y101" s="118"/>
      <c r="Z101" s="118" t="s">
        <v>70</v>
      </c>
      <c r="AA101" s="118"/>
      <c r="AB101" s="116" t="s">
        <v>575</v>
      </c>
      <c r="AC101" s="120">
        <v>44900</v>
      </c>
      <c r="AD101" s="121">
        <v>891680081</v>
      </c>
      <c r="AE101" s="122" t="s">
        <v>1313</v>
      </c>
      <c r="AF101" s="126">
        <v>45002</v>
      </c>
      <c r="AG101" s="114">
        <v>45460</v>
      </c>
      <c r="AH101" s="21" t="s">
        <v>577</v>
      </c>
      <c r="AI101" s="21"/>
      <c r="AJ101" s="21"/>
      <c r="AK101" s="118"/>
      <c r="AL101" s="118">
        <v>1390000000</v>
      </c>
      <c r="AM101" s="123"/>
      <c r="AN101" s="123"/>
      <c r="AO101" s="123"/>
      <c r="AP101" s="123"/>
      <c r="AQ101" s="123"/>
      <c r="AR101" s="123"/>
      <c r="AS101" s="123"/>
      <c r="AT101" s="123"/>
      <c r="AU101" s="123"/>
      <c r="AV101" s="123">
        <v>0</v>
      </c>
      <c r="AW101" s="124"/>
      <c r="AX101" s="124">
        <f>V101*50%</f>
        <v>695000000</v>
      </c>
      <c r="AY101" s="124" t="str">
        <f>IF(AK101="","",ROUND(AL101*40%,2))</f>
        <v/>
      </c>
      <c r="AZ101" s="124" t="str">
        <f t="shared" si="22"/>
        <v/>
      </c>
      <c r="BA101" s="21" t="s">
        <v>578</v>
      </c>
      <c r="BB101" s="21"/>
      <c r="BC101" s="21"/>
      <c r="BD101" s="21"/>
      <c r="BE101" s="21"/>
      <c r="BF101" s="21"/>
      <c r="BG101" s="21"/>
      <c r="BH101" s="21"/>
      <c r="BI101" s="21"/>
      <c r="BJ101" s="21"/>
    </row>
    <row r="102" spans="1:62" ht="14" x14ac:dyDescent="0.15">
      <c r="A102" s="17">
        <v>98</v>
      </c>
      <c r="B102" s="16" t="s">
        <v>579</v>
      </c>
      <c r="C102" s="15">
        <v>1817915597</v>
      </c>
      <c r="D102" s="112">
        <v>44896</v>
      </c>
      <c r="E102" s="21" t="s">
        <v>573</v>
      </c>
      <c r="F102" s="15">
        <f t="shared" si="23"/>
        <v>1817915597</v>
      </c>
      <c r="G102" s="21" t="s">
        <v>62</v>
      </c>
      <c r="H102" s="15">
        <v>0</v>
      </c>
      <c r="I102" s="21" t="s">
        <v>580</v>
      </c>
      <c r="J102" s="21" t="s">
        <v>172</v>
      </c>
      <c r="K102" s="21" t="s">
        <v>574</v>
      </c>
      <c r="L102" s="112">
        <v>44883</v>
      </c>
      <c r="M102" s="127">
        <v>9822</v>
      </c>
      <c r="N102" s="114">
        <v>44567</v>
      </c>
      <c r="O102" s="115" t="s">
        <v>66</v>
      </c>
      <c r="P102" s="115" t="s">
        <v>767</v>
      </c>
      <c r="Q102" s="115" t="s">
        <v>112</v>
      </c>
      <c r="R102" s="116" t="s">
        <v>581</v>
      </c>
      <c r="S102" s="115" t="s">
        <v>576</v>
      </c>
      <c r="T102" s="120">
        <v>44900</v>
      </c>
      <c r="U102" s="117"/>
      <c r="V102" s="118">
        <v>1817915597</v>
      </c>
      <c r="W102" s="118">
        <f t="shared" ref="W102:W120" si="24">+V102</f>
        <v>1817915597</v>
      </c>
      <c r="X102" s="118" t="s">
        <v>1154</v>
      </c>
      <c r="Y102" s="118"/>
      <c r="Z102" s="118" t="s">
        <v>79</v>
      </c>
      <c r="AA102" s="118">
        <v>0</v>
      </c>
      <c r="AB102" s="116" t="s">
        <v>581</v>
      </c>
      <c r="AC102" s="120">
        <v>44900</v>
      </c>
      <c r="AD102" s="121">
        <v>818000395</v>
      </c>
      <c r="AE102" s="122" t="s">
        <v>1314</v>
      </c>
      <c r="AF102" s="126">
        <v>44950</v>
      </c>
      <c r="AG102" s="114">
        <v>45346</v>
      </c>
      <c r="AH102" s="21" t="s">
        <v>582</v>
      </c>
      <c r="AI102" s="21"/>
      <c r="AJ102" s="21"/>
      <c r="AK102" s="118"/>
      <c r="AL102" s="118">
        <v>1817915597</v>
      </c>
      <c r="AM102" s="123"/>
      <c r="AN102" s="123"/>
      <c r="AO102" s="123"/>
      <c r="AP102" s="123"/>
      <c r="AQ102" s="123"/>
      <c r="AR102" s="123"/>
      <c r="AS102" s="123"/>
      <c r="AT102" s="123"/>
      <c r="AU102" s="123"/>
      <c r="AV102" s="123">
        <v>0</v>
      </c>
      <c r="AW102" s="124"/>
      <c r="AX102" s="124">
        <f>+AL102</f>
        <v>1817915597</v>
      </c>
      <c r="AY102" s="124">
        <v>0</v>
      </c>
      <c r="AZ102" s="124" t="str">
        <f t="shared" si="22"/>
        <v/>
      </c>
      <c r="BA102" s="21" t="s">
        <v>578</v>
      </c>
      <c r="BB102" s="21" t="s">
        <v>583</v>
      </c>
      <c r="BC102" s="21"/>
      <c r="BD102" s="21"/>
      <c r="BE102" s="21"/>
      <c r="BF102" s="21"/>
      <c r="BG102" s="21"/>
      <c r="BH102" s="21"/>
      <c r="BI102" s="21"/>
      <c r="BJ102" s="21"/>
    </row>
    <row r="103" spans="1:62" ht="14" x14ac:dyDescent="0.15">
      <c r="A103" s="17">
        <v>99</v>
      </c>
      <c r="B103" s="16" t="s">
        <v>584</v>
      </c>
      <c r="C103" s="15">
        <v>1227973770</v>
      </c>
      <c r="D103" s="112">
        <v>44896</v>
      </c>
      <c r="E103" s="21" t="s">
        <v>573</v>
      </c>
      <c r="F103" s="15">
        <f t="shared" si="23"/>
        <v>1227973770</v>
      </c>
      <c r="G103" s="21" t="s">
        <v>62</v>
      </c>
      <c r="H103" s="15">
        <v>0</v>
      </c>
      <c r="I103" s="21" t="s">
        <v>585</v>
      </c>
      <c r="J103" s="21" t="s">
        <v>172</v>
      </c>
      <c r="K103" s="21" t="s">
        <v>574</v>
      </c>
      <c r="L103" s="112">
        <v>44883</v>
      </c>
      <c r="M103" s="127">
        <v>9822</v>
      </c>
      <c r="N103" s="114">
        <v>44567</v>
      </c>
      <c r="O103" s="115" t="s">
        <v>66</v>
      </c>
      <c r="P103" s="115" t="s">
        <v>767</v>
      </c>
      <c r="Q103" s="115" t="s">
        <v>112</v>
      </c>
      <c r="R103" s="116" t="s">
        <v>586</v>
      </c>
      <c r="S103" s="115" t="s">
        <v>576</v>
      </c>
      <c r="T103" s="120">
        <v>44900</v>
      </c>
      <c r="U103" s="117"/>
      <c r="V103" s="118">
        <v>1227973770</v>
      </c>
      <c r="W103" s="118">
        <f t="shared" si="24"/>
        <v>1227973770</v>
      </c>
      <c r="X103" s="118" t="s">
        <v>1154</v>
      </c>
      <c r="Y103" s="118"/>
      <c r="Z103" s="118" t="s">
        <v>70</v>
      </c>
      <c r="AA103" s="118"/>
      <c r="AB103" s="116" t="s">
        <v>586</v>
      </c>
      <c r="AC103" s="120">
        <v>44900</v>
      </c>
      <c r="AD103" s="121">
        <v>891680061</v>
      </c>
      <c r="AE103" s="122" t="s">
        <v>1315</v>
      </c>
      <c r="AF103" s="126">
        <v>44958</v>
      </c>
      <c r="AG103" s="114">
        <v>45412</v>
      </c>
      <c r="AH103" s="21" t="s">
        <v>587</v>
      </c>
      <c r="AI103" s="21"/>
      <c r="AJ103" s="21"/>
      <c r="AK103" s="118"/>
      <c r="AL103" s="118">
        <v>1227973770</v>
      </c>
      <c r="AM103" s="123"/>
      <c r="AN103" s="123"/>
      <c r="AO103" s="123"/>
      <c r="AP103" s="123"/>
      <c r="AQ103" s="123"/>
      <c r="AR103" s="123"/>
      <c r="AS103" s="123"/>
      <c r="AT103" s="123"/>
      <c r="AU103" s="123"/>
      <c r="AV103" s="123">
        <v>0</v>
      </c>
      <c r="AW103" s="124"/>
      <c r="AX103" s="124">
        <f>V103*50%</f>
        <v>613986885</v>
      </c>
      <c r="AY103" s="124" t="str">
        <f>IF(AK103="","",ROUND(AL103*40%,2))</f>
        <v/>
      </c>
      <c r="AZ103" s="124" t="str">
        <f t="shared" si="22"/>
        <v/>
      </c>
      <c r="BA103" s="21" t="s">
        <v>578</v>
      </c>
      <c r="BB103" s="21"/>
      <c r="BC103" s="21"/>
      <c r="BD103" s="21"/>
      <c r="BE103" s="21"/>
      <c r="BF103" s="21"/>
      <c r="BG103" s="21"/>
      <c r="BH103" s="21"/>
      <c r="BI103" s="21"/>
      <c r="BJ103" s="21"/>
    </row>
    <row r="104" spans="1:62" ht="14" x14ac:dyDescent="0.15">
      <c r="A104" s="17">
        <v>100</v>
      </c>
      <c r="B104" s="16" t="s">
        <v>588</v>
      </c>
      <c r="C104" s="15">
        <v>46908312</v>
      </c>
      <c r="D104" s="112">
        <v>44876</v>
      </c>
      <c r="E104" s="21" t="s">
        <v>61</v>
      </c>
      <c r="F104" s="15">
        <f t="shared" si="23"/>
        <v>46908312</v>
      </c>
      <c r="G104" s="21" t="s">
        <v>62</v>
      </c>
      <c r="H104" s="15">
        <v>0</v>
      </c>
      <c r="I104" s="21" t="s">
        <v>198</v>
      </c>
      <c r="J104" s="21" t="s">
        <v>199</v>
      </c>
      <c r="K104" s="21" t="s">
        <v>589</v>
      </c>
      <c r="L104" s="112">
        <v>44876</v>
      </c>
      <c r="M104" s="127">
        <v>176921</v>
      </c>
      <c r="N104" s="114">
        <v>44477</v>
      </c>
      <c r="O104" s="122" t="s">
        <v>66</v>
      </c>
      <c r="P104" s="115" t="s">
        <v>767</v>
      </c>
      <c r="Q104" s="122" t="s">
        <v>112</v>
      </c>
      <c r="R104" s="116" t="s">
        <v>200</v>
      </c>
      <c r="S104" s="115" t="s">
        <v>69</v>
      </c>
      <c r="T104" s="117">
        <v>44880</v>
      </c>
      <c r="U104" s="117"/>
      <c r="V104" s="118">
        <v>46906312</v>
      </c>
      <c r="W104" s="118"/>
      <c r="X104" s="118" t="s">
        <v>1154</v>
      </c>
      <c r="Y104" s="118">
        <f>+V104</f>
        <v>46906312</v>
      </c>
      <c r="Z104" s="125" t="s">
        <v>79</v>
      </c>
      <c r="AA104" s="118">
        <v>0</v>
      </c>
      <c r="AB104" s="119" t="s">
        <v>201</v>
      </c>
      <c r="AC104" s="120">
        <v>44880</v>
      </c>
      <c r="AD104" s="121">
        <v>900457115</v>
      </c>
      <c r="AE104" s="122" t="s">
        <v>1275</v>
      </c>
      <c r="AF104" s="126"/>
      <c r="AG104" s="114">
        <v>45023</v>
      </c>
      <c r="AH104" s="21" t="s">
        <v>590</v>
      </c>
      <c r="AI104" s="21"/>
      <c r="AJ104" s="21"/>
      <c r="AK104" s="118">
        <v>0</v>
      </c>
      <c r="AL104" s="118">
        <f>IF(AK104="","",V104-AK104)</f>
        <v>46906312</v>
      </c>
      <c r="AM104" s="123"/>
      <c r="AN104" s="123"/>
      <c r="AO104" s="123"/>
      <c r="AP104" s="123"/>
      <c r="AQ104" s="123"/>
      <c r="AR104" s="123"/>
      <c r="AS104" s="123"/>
      <c r="AT104" s="123"/>
      <c r="AU104" s="123"/>
      <c r="AV104" s="123"/>
      <c r="AW104" s="124">
        <f t="shared" ref="AW104:AW110" si="25">IF(AK104="","",AK104)</f>
        <v>0</v>
      </c>
      <c r="AX104" s="124">
        <f>+AL104*90%/2.5</f>
        <v>16886272.32</v>
      </c>
      <c r="AY104" s="124"/>
      <c r="AZ104" s="124">
        <f t="shared" si="22"/>
        <v>4690631.2</v>
      </c>
      <c r="BA104" s="21" t="s">
        <v>83</v>
      </c>
      <c r="BB104" s="21"/>
      <c r="BC104" s="21"/>
      <c r="BD104" s="21"/>
      <c r="BE104" s="21"/>
      <c r="BF104" s="21"/>
      <c r="BG104" s="21"/>
      <c r="BH104" s="21"/>
      <c r="BI104" s="21"/>
      <c r="BJ104" s="21"/>
    </row>
    <row r="105" spans="1:62" ht="14" x14ac:dyDescent="0.15">
      <c r="A105" s="17">
        <v>101</v>
      </c>
      <c r="B105" s="16" t="s">
        <v>591</v>
      </c>
      <c r="C105" s="15">
        <v>1474303646</v>
      </c>
      <c r="D105" s="112">
        <v>44896</v>
      </c>
      <c r="E105" s="21" t="s">
        <v>573</v>
      </c>
      <c r="F105" s="15">
        <f t="shared" si="23"/>
        <v>1474303646</v>
      </c>
      <c r="G105" s="21" t="s">
        <v>62</v>
      </c>
      <c r="H105" s="15">
        <v>0</v>
      </c>
      <c r="I105" s="21" t="s">
        <v>227</v>
      </c>
      <c r="J105" s="21" t="s">
        <v>172</v>
      </c>
      <c r="K105" s="21" t="s">
        <v>574</v>
      </c>
      <c r="L105" s="112">
        <v>44883</v>
      </c>
      <c r="M105" s="127">
        <v>9822</v>
      </c>
      <c r="N105" s="114">
        <v>44567</v>
      </c>
      <c r="O105" s="115" t="s">
        <v>66</v>
      </c>
      <c r="P105" s="115" t="s">
        <v>767</v>
      </c>
      <c r="Q105" s="115" t="s">
        <v>112</v>
      </c>
      <c r="R105" s="116" t="s">
        <v>592</v>
      </c>
      <c r="S105" s="115" t="s">
        <v>576</v>
      </c>
      <c r="T105" s="120">
        <v>44900</v>
      </c>
      <c r="U105" s="117"/>
      <c r="V105" s="118">
        <v>1474303646</v>
      </c>
      <c r="W105" s="118">
        <f t="shared" si="24"/>
        <v>1474303646</v>
      </c>
      <c r="X105" s="118" t="s">
        <v>1154</v>
      </c>
      <c r="Y105" s="118"/>
      <c r="Z105" s="118" t="s">
        <v>70</v>
      </c>
      <c r="AA105" s="118"/>
      <c r="AB105" s="116" t="s">
        <v>592</v>
      </c>
      <c r="AC105" s="120">
        <v>44900</v>
      </c>
      <c r="AD105" s="121">
        <v>800070375</v>
      </c>
      <c r="AE105" s="122" t="s">
        <v>1316</v>
      </c>
      <c r="AF105" s="126">
        <v>44957</v>
      </c>
      <c r="AG105" s="114">
        <v>45382</v>
      </c>
      <c r="AH105" s="21" t="s">
        <v>587</v>
      </c>
      <c r="AI105" s="21"/>
      <c r="AJ105" s="21"/>
      <c r="AK105" s="118"/>
      <c r="AL105" s="118">
        <v>1474303646</v>
      </c>
      <c r="AM105" s="123"/>
      <c r="AN105" s="123"/>
      <c r="AO105" s="123"/>
      <c r="AP105" s="123"/>
      <c r="AQ105" s="123"/>
      <c r="AR105" s="123"/>
      <c r="AS105" s="123"/>
      <c r="AT105" s="123"/>
      <c r="AU105" s="123"/>
      <c r="AV105" s="123">
        <v>0</v>
      </c>
      <c r="AW105" s="124" t="str">
        <f t="shared" si="25"/>
        <v/>
      </c>
      <c r="AX105" s="124">
        <f>V105*50%</f>
        <v>737151823</v>
      </c>
      <c r="AY105" s="124" t="str">
        <f>IF(AK105="","",ROUND(AL105*40%,2))</f>
        <v/>
      </c>
      <c r="AZ105" s="124" t="str">
        <f t="shared" si="22"/>
        <v/>
      </c>
      <c r="BA105" s="21" t="s">
        <v>578</v>
      </c>
      <c r="BB105" s="21"/>
      <c r="BC105" s="21"/>
      <c r="BD105" s="21"/>
      <c r="BE105" s="21"/>
      <c r="BF105" s="21"/>
      <c r="BG105" s="21"/>
      <c r="BH105" s="21"/>
      <c r="BI105" s="21"/>
      <c r="BJ105" s="21"/>
    </row>
    <row r="106" spans="1:62" ht="14" x14ac:dyDescent="0.15">
      <c r="A106" s="17">
        <v>102</v>
      </c>
      <c r="B106" s="16" t="s">
        <v>593</v>
      </c>
      <c r="C106" s="15">
        <v>5903557162</v>
      </c>
      <c r="D106" s="112">
        <v>44896</v>
      </c>
      <c r="E106" s="21" t="s">
        <v>573</v>
      </c>
      <c r="F106" s="15">
        <f t="shared" si="23"/>
        <v>5903557162</v>
      </c>
      <c r="G106" s="21" t="s">
        <v>62</v>
      </c>
      <c r="H106" s="15">
        <v>0</v>
      </c>
      <c r="I106" s="21" t="s">
        <v>594</v>
      </c>
      <c r="J106" s="21" t="s">
        <v>172</v>
      </c>
      <c r="K106" s="21" t="s">
        <v>574</v>
      </c>
      <c r="L106" s="112">
        <v>44883</v>
      </c>
      <c r="M106" s="127">
        <v>9822</v>
      </c>
      <c r="N106" s="114">
        <v>44567</v>
      </c>
      <c r="O106" s="115" t="s">
        <v>66</v>
      </c>
      <c r="P106" s="115" t="s">
        <v>767</v>
      </c>
      <c r="Q106" s="115" t="s">
        <v>112</v>
      </c>
      <c r="R106" s="116" t="s">
        <v>595</v>
      </c>
      <c r="S106" s="115" t="s">
        <v>576</v>
      </c>
      <c r="T106" s="120">
        <v>44900</v>
      </c>
      <c r="U106" s="117"/>
      <c r="V106" s="118">
        <v>5903557162</v>
      </c>
      <c r="W106" s="118">
        <f t="shared" si="24"/>
        <v>5903557162</v>
      </c>
      <c r="X106" s="118" t="s">
        <v>1154</v>
      </c>
      <c r="Y106" s="118"/>
      <c r="Z106" s="118" t="s">
        <v>79</v>
      </c>
      <c r="AA106" s="118"/>
      <c r="AB106" s="116" t="s">
        <v>595</v>
      </c>
      <c r="AC106" s="120">
        <v>44900</v>
      </c>
      <c r="AD106" s="121">
        <v>818001202</v>
      </c>
      <c r="AE106" s="122" t="s">
        <v>1317</v>
      </c>
      <c r="AF106" s="126">
        <v>44944</v>
      </c>
      <c r="AG106" s="114">
        <v>45400</v>
      </c>
      <c r="AH106" s="21" t="s">
        <v>577</v>
      </c>
      <c r="AI106" s="21"/>
      <c r="AJ106" s="21"/>
      <c r="AK106" s="118"/>
      <c r="AL106" s="118">
        <v>5903557162</v>
      </c>
      <c r="AM106" s="123"/>
      <c r="AN106" s="123"/>
      <c r="AO106" s="123"/>
      <c r="AP106" s="123"/>
      <c r="AQ106" s="123"/>
      <c r="AR106" s="123"/>
      <c r="AS106" s="123"/>
      <c r="AT106" s="123"/>
      <c r="AU106" s="123"/>
      <c r="AV106" s="123">
        <v>0</v>
      </c>
      <c r="AW106" s="124" t="str">
        <f t="shared" si="25"/>
        <v/>
      </c>
      <c r="AX106" s="124">
        <f>V106*50%</f>
        <v>2951778581</v>
      </c>
      <c r="AY106" s="124" t="str">
        <f>IF(AK106="","",ROUND(AL106*40%,2))</f>
        <v/>
      </c>
      <c r="AZ106" s="124" t="str">
        <f t="shared" si="22"/>
        <v/>
      </c>
      <c r="BA106" s="21" t="s">
        <v>578</v>
      </c>
      <c r="BB106" s="21"/>
      <c r="BC106" s="21"/>
      <c r="BD106" s="21"/>
      <c r="BE106" s="21"/>
      <c r="BF106" s="21"/>
      <c r="BG106" s="21"/>
      <c r="BH106" s="21"/>
      <c r="BI106" s="21"/>
      <c r="BJ106" s="21"/>
    </row>
    <row r="107" spans="1:62" ht="14" x14ac:dyDescent="0.15">
      <c r="A107" s="17">
        <v>103</v>
      </c>
      <c r="B107" s="16" t="s">
        <v>596</v>
      </c>
      <c r="C107" s="15">
        <v>4056298040</v>
      </c>
      <c r="D107" s="112">
        <v>44900</v>
      </c>
      <c r="E107" s="21" t="s">
        <v>480</v>
      </c>
      <c r="F107" s="15">
        <f t="shared" si="23"/>
        <v>4056298040</v>
      </c>
      <c r="G107" s="21" t="s">
        <v>62</v>
      </c>
      <c r="H107" s="15">
        <v>0</v>
      </c>
      <c r="I107" s="21" t="s">
        <v>485</v>
      </c>
      <c r="J107" s="21" t="s">
        <v>87</v>
      </c>
      <c r="K107" s="21" t="s">
        <v>597</v>
      </c>
      <c r="L107" s="112">
        <v>44894</v>
      </c>
      <c r="M107" s="127">
        <v>9822</v>
      </c>
      <c r="N107" s="114">
        <v>44567</v>
      </c>
      <c r="O107" s="115" t="s">
        <v>66</v>
      </c>
      <c r="P107" s="115" t="s">
        <v>767</v>
      </c>
      <c r="Q107" s="115" t="s">
        <v>112</v>
      </c>
      <c r="R107" s="116" t="s">
        <v>598</v>
      </c>
      <c r="S107" s="115" t="s">
        <v>69</v>
      </c>
      <c r="T107" s="117">
        <v>44960</v>
      </c>
      <c r="U107" s="117"/>
      <c r="V107" s="118">
        <v>3919923373</v>
      </c>
      <c r="W107" s="118">
        <f t="shared" si="24"/>
        <v>3919923373</v>
      </c>
      <c r="X107" s="118" t="s">
        <v>1154</v>
      </c>
      <c r="Y107" s="118"/>
      <c r="Z107" s="118" t="s">
        <v>70</v>
      </c>
      <c r="AA107" s="118"/>
      <c r="AB107" s="119" t="s">
        <v>599</v>
      </c>
      <c r="AC107" s="120">
        <v>44988</v>
      </c>
      <c r="AD107" s="121">
        <v>901684711</v>
      </c>
      <c r="AE107" s="122" t="s">
        <v>1318</v>
      </c>
      <c r="AF107" s="126">
        <v>45016</v>
      </c>
      <c r="AG107" s="114">
        <v>45245</v>
      </c>
      <c r="AH107" s="21" t="s">
        <v>600</v>
      </c>
      <c r="AI107" s="21"/>
      <c r="AJ107" s="21"/>
      <c r="AK107" s="118">
        <v>65287460</v>
      </c>
      <c r="AL107" s="118">
        <f>IF(AK107="","",V107-AK107)</f>
        <v>3854635913</v>
      </c>
      <c r="AM107" s="123">
        <v>0.22939999999999999</v>
      </c>
      <c r="AN107" s="123">
        <v>0.02</v>
      </c>
      <c r="AO107" s="123">
        <v>0.05</v>
      </c>
      <c r="AP107" s="123"/>
      <c r="AQ107" s="123"/>
      <c r="AR107" s="123"/>
      <c r="AS107" s="123"/>
      <c r="AT107" s="123"/>
      <c r="AU107" s="123"/>
      <c r="AV107" s="123">
        <v>0.1</v>
      </c>
      <c r="AW107" s="124">
        <f t="shared" si="25"/>
        <v>65287460</v>
      </c>
      <c r="AX107" s="124">
        <f>IF(AK107="","",ROUND(AL107*0%,2))</f>
        <v>0</v>
      </c>
      <c r="AY107" s="124">
        <f>IF(AK107="","",ROUND(AL107*100%,2))</f>
        <v>3854635913</v>
      </c>
      <c r="AZ107" s="124">
        <f>IF(AK107="","",ROUND(AL107*0%,2))</f>
        <v>0</v>
      </c>
      <c r="BA107" s="21" t="s">
        <v>299</v>
      </c>
      <c r="BB107" s="21"/>
      <c r="BC107" s="21"/>
      <c r="BD107" s="21"/>
      <c r="BE107" s="21"/>
      <c r="BF107" s="21"/>
      <c r="BG107" s="21"/>
      <c r="BH107" s="21"/>
      <c r="BI107" s="21"/>
      <c r="BJ107" s="21"/>
    </row>
    <row r="108" spans="1:62" ht="14" x14ac:dyDescent="0.15">
      <c r="A108" s="17">
        <v>104</v>
      </c>
      <c r="B108" s="16" t="s">
        <v>601</v>
      </c>
      <c r="C108" s="15">
        <v>290617550</v>
      </c>
      <c r="D108" s="112">
        <v>44900</v>
      </c>
      <c r="E108" s="21" t="s">
        <v>85</v>
      </c>
      <c r="F108" s="15">
        <f t="shared" si="23"/>
        <v>290617550</v>
      </c>
      <c r="G108" s="21" t="s">
        <v>62</v>
      </c>
      <c r="H108" s="15">
        <v>0</v>
      </c>
      <c r="I108" s="21" t="s">
        <v>485</v>
      </c>
      <c r="J108" s="21" t="s">
        <v>87</v>
      </c>
      <c r="K108" s="21" t="s">
        <v>597</v>
      </c>
      <c r="L108" s="112">
        <v>44894</v>
      </c>
      <c r="M108" s="127">
        <v>9822</v>
      </c>
      <c r="N108" s="114">
        <v>44567</v>
      </c>
      <c r="O108" s="115" t="s">
        <v>66</v>
      </c>
      <c r="P108" s="115" t="s">
        <v>767</v>
      </c>
      <c r="Q108" s="115" t="s">
        <v>112</v>
      </c>
      <c r="R108" s="116" t="s">
        <v>602</v>
      </c>
      <c r="S108" s="115" t="s">
        <v>69</v>
      </c>
      <c r="T108" s="117">
        <v>44960</v>
      </c>
      <c r="U108" s="117"/>
      <c r="V108" s="118">
        <v>280039072</v>
      </c>
      <c r="W108" s="118">
        <f t="shared" si="24"/>
        <v>280039072</v>
      </c>
      <c r="X108" s="118" t="s">
        <v>1154</v>
      </c>
      <c r="Y108" s="118"/>
      <c r="Z108" s="118" t="s">
        <v>70</v>
      </c>
      <c r="AA108" s="118"/>
      <c r="AB108" s="119" t="s">
        <v>603</v>
      </c>
      <c r="AC108" s="120">
        <v>44985</v>
      </c>
      <c r="AD108" s="121">
        <v>901450714</v>
      </c>
      <c r="AE108" s="122" t="s">
        <v>1319</v>
      </c>
      <c r="AF108" s="126">
        <v>45016</v>
      </c>
      <c r="AG108" s="114">
        <v>45375</v>
      </c>
      <c r="AH108" s="21" t="s">
        <v>604</v>
      </c>
      <c r="AI108" s="21"/>
      <c r="AJ108" s="21"/>
      <c r="AK108" s="118">
        <v>38045193</v>
      </c>
      <c r="AL108" s="118">
        <f>IF(AK108="","",V108-AK108)</f>
        <v>241993879</v>
      </c>
      <c r="AM108" s="123"/>
      <c r="AN108" s="123"/>
      <c r="AO108" s="123"/>
      <c r="AP108" s="123"/>
      <c r="AQ108" s="123"/>
      <c r="AR108" s="123"/>
      <c r="AS108" s="123"/>
      <c r="AT108" s="123"/>
      <c r="AU108" s="123"/>
      <c r="AV108" s="123">
        <v>0.1</v>
      </c>
      <c r="AW108" s="124">
        <f t="shared" si="25"/>
        <v>38045193</v>
      </c>
      <c r="AX108" s="124">
        <f>IF(AK108="","",ROUND(AL108/INT(LEFT(AH108,FIND("m",AH108)-1))*50%,2))</f>
        <v>15124617.439999999</v>
      </c>
      <c r="AY108" s="124">
        <f>IF(AK108="","",ROUND(AL108*40%,2))</f>
        <v>96797551.599999994</v>
      </c>
      <c r="AZ108" s="124">
        <f>IF(AK108="","",ROUND(AL108*10%,2))</f>
        <v>24199387.899999999</v>
      </c>
      <c r="BA108" s="21" t="s">
        <v>299</v>
      </c>
      <c r="BB108" s="21"/>
      <c r="BC108" s="21"/>
      <c r="BD108" s="21"/>
      <c r="BE108" s="21"/>
      <c r="BF108" s="21"/>
      <c r="BG108" s="21"/>
      <c r="BH108" s="21"/>
      <c r="BI108" s="21"/>
      <c r="BJ108" s="21"/>
    </row>
    <row r="109" spans="1:62" ht="14" x14ac:dyDescent="0.15">
      <c r="A109" s="17">
        <v>105</v>
      </c>
      <c r="B109" s="16" t="s">
        <v>605</v>
      </c>
      <c r="C109" s="15">
        <v>1271816300</v>
      </c>
      <c r="D109" s="112">
        <v>44900</v>
      </c>
      <c r="E109" s="21" t="s">
        <v>480</v>
      </c>
      <c r="F109" s="15">
        <f t="shared" si="23"/>
        <v>1271816300</v>
      </c>
      <c r="G109" s="21" t="s">
        <v>62</v>
      </c>
      <c r="H109" s="15">
        <v>0</v>
      </c>
      <c r="I109" s="21" t="s">
        <v>606</v>
      </c>
      <c r="J109" s="21" t="s">
        <v>64</v>
      </c>
      <c r="K109" s="21" t="s">
        <v>597</v>
      </c>
      <c r="L109" s="112">
        <v>44894</v>
      </c>
      <c r="M109" s="127">
        <v>9822</v>
      </c>
      <c r="N109" s="114">
        <v>44567</v>
      </c>
      <c r="O109" s="115" t="s">
        <v>66</v>
      </c>
      <c r="P109" s="115" t="s">
        <v>767</v>
      </c>
      <c r="Q109" s="115" t="s">
        <v>112</v>
      </c>
      <c r="R109" s="116" t="s">
        <v>607</v>
      </c>
      <c r="S109" s="115" t="s">
        <v>69</v>
      </c>
      <c r="T109" s="117">
        <v>45026</v>
      </c>
      <c r="U109" s="117"/>
      <c r="V109" s="118">
        <v>1227943977</v>
      </c>
      <c r="W109" s="118">
        <f t="shared" si="24"/>
        <v>1227943977</v>
      </c>
      <c r="X109" s="118" t="s">
        <v>1154</v>
      </c>
      <c r="Y109" s="118"/>
      <c r="Z109" s="118" t="s">
        <v>608</v>
      </c>
      <c r="AA109" s="118"/>
      <c r="AB109" s="119" t="s">
        <v>609</v>
      </c>
      <c r="AC109" s="120">
        <v>45026</v>
      </c>
      <c r="AD109" s="121">
        <v>901692368</v>
      </c>
      <c r="AE109" s="122" t="s">
        <v>1320</v>
      </c>
      <c r="AF109" s="126"/>
      <c r="AG109" s="114"/>
      <c r="AH109" s="21" t="s">
        <v>610</v>
      </c>
      <c r="AI109" s="21"/>
      <c r="AJ109" s="21"/>
      <c r="AK109" s="118">
        <v>46200000</v>
      </c>
      <c r="AL109" s="118">
        <f>IF(AK109="","",V109-AK109)</f>
        <v>1181743977</v>
      </c>
      <c r="AM109" s="123"/>
      <c r="AN109" s="123"/>
      <c r="AO109" s="123"/>
      <c r="AP109" s="123"/>
      <c r="AQ109" s="123"/>
      <c r="AR109" s="123"/>
      <c r="AS109" s="123"/>
      <c r="AT109" s="123"/>
      <c r="AU109" s="123"/>
      <c r="AV109" s="123">
        <v>0.1</v>
      </c>
      <c r="AW109" s="124">
        <f t="shared" si="25"/>
        <v>46200000</v>
      </c>
      <c r="AX109" s="124">
        <f>IF(AK109="","",ROUND(AL109*0%,2))</f>
        <v>0</v>
      </c>
      <c r="AY109" s="124">
        <f>IF(AK109="","",ROUND(AL109*100%,2))</f>
        <v>1181743977</v>
      </c>
      <c r="AZ109" s="124">
        <f>IF(AK109="","",ROUND(AL109*0%,2))</f>
        <v>0</v>
      </c>
      <c r="BA109" s="21"/>
      <c r="BB109" s="21"/>
      <c r="BC109" s="21"/>
      <c r="BD109" s="21"/>
      <c r="BE109" s="21"/>
      <c r="BF109" s="21"/>
      <c r="BG109" s="21"/>
      <c r="BH109" s="21"/>
      <c r="BI109" s="21"/>
      <c r="BJ109" s="21"/>
    </row>
    <row r="110" spans="1:62" ht="14" x14ac:dyDescent="0.15">
      <c r="A110" s="17">
        <v>106</v>
      </c>
      <c r="B110" s="16" t="s">
        <v>611</v>
      </c>
      <c r="C110" s="15">
        <v>186857210</v>
      </c>
      <c r="D110" s="112">
        <v>44900</v>
      </c>
      <c r="E110" s="21" t="s">
        <v>85</v>
      </c>
      <c r="F110" s="15">
        <f t="shared" si="23"/>
        <v>186857210</v>
      </c>
      <c r="G110" s="21" t="s">
        <v>62</v>
      </c>
      <c r="H110" s="15">
        <v>0</v>
      </c>
      <c r="I110" s="21" t="s">
        <v>606</v>
      </c>
      <c r="J110" s="21" t="s">
        <v>64</v>
      </c>
      <c r="K110" s="21" t="s">
        <v>597</v>
      </c>
      <c r="L110" s="112">
        <v>44894</v>
      </c>
      <c r="M110" s="127">
        <v>9822</v>
      </c>
      <c r="N110" s="114">
        <v>44567</v>
      </c>
      <c r="O110" s="115" t="s">
        <v>66</v>
      </c>
      <c r="P110" s="115" t="s">
        <v>767</v>
      </c>
      <c r="Q110" s="115" t="s">
        <v>112</v>
      </c>
      <c r="R110" s="116" t="s">
        <v>612</v>
      </c>
      <c r="S110" s="115" t="s">
        <v>69</v>
      </c>
      <c r="T110" s="117">
        <v>44979</v>
      </c>
      <c r="U110" s="117"/>
      <c r="V110" s="118">
        <v>177131500</v>
      </c>
      <c r="W110" s="118">
        <f t="shared" si="24"/>
        <v>177131500</v>
      </c>
      <c r="X110" s="118" t="s">
        <v>1154</v>
      </c>
      <c r="Y110" s="118"/>
      <c r="Z110" s="118" t="s">
        <v>608</v>
      </c>
      <c r="AA110" s="118"/>
      <c r="AB110" s="119" t="s">
        <v>613</v>
      </c>
      <c r="AC110" s="120">
        <v>45028</v>
      </c>
      <c r="AD110" s="121">
        <v>901693224</v>
      </c>
      <c r="AE110" s="122" t="s">
        <v>1321</v>
      </c>
      <c r="AF110" s="126">
        <v>45057</v>
      </c>
      <c r="AG110" s="114">
        <v>45286</v>
      </c>
      <c r="AH110" s="21" t="s">
        <v>600</v>
      </c>
      <c r="AI110" s="21"/>
      <c r="AJ110" s="21"/>
      <c r="AK110" s="118">
        <v>29155000</v>
      </c>
      <c r="AL110" s="118">
        <f>+V110-AK110</f>
        <v>147976500</v>
      </c>
      <c r="AM110" s="123"/>
      <c r="AN110" s="123"/>
      <c r="AO110" s="123"/>
      <c r="AP110" s="123"/>
      <c r="AQ110" s="123"/>
      <c r="AR110" s="123"/>
      <c r="AS110" s="123"/>
      <c r="AT110" s="123"/>
      <c r="AU110" s="123"/>
      <c r="AV110" s="123">
        <v>0.1</v>
      </c>
      <c r="AW110" s="124">
        <f t="shared" si="25"/>
        <v>29155000</v>
      </c>
      <c r="AX110" s="124">
        <f>IF(AK110="","",ROUND(AL110/INT(LEFT(AH110,FIND("m",AH110)-1))*50%,2))</f>
        <v>12331375</v>
      </c>
      <c r="AY110" s="124">
        <f>IF(AK110="","",ROUND(AL110*40%,2))</f>
        <v>59190600</v>
      </c>
      <c r="AZ110" s="124">
        <f>IF(AK110="","",ROUND(AL110*10%,2))</f>
        <v>14797650</v>
      </c>
      <c r="BA110" s="21"/>
      <c r="BB110" s="21"/>
      <c r="BC110" s="21"/>
      <c r="BD110" s="21"/>
      <c r="BE110" s="21"/>
      <c r="BF110" s="21"/>
      <c r="BG110" s="21"/>
      <c r="BH110" s="21"/>
      <c r="BI110" s="21"/>
      <c r="BJ110" s="21"/>
    </row>
    <row r="111" spans="1:62" ht="14" x14ac:dyDescent="0.15">
      <c r="A111" s="17">
        <v>107</v>
      </c>
      <c r="B111" s="16" t="s">
        <v>614</v>
      </c>
      <c r="C111" s="15">
        <v>21472742</v>
      </c>
      <c r="D111" s="112">
        <v>44901</v>
      </c>
      <c r="E111" s="21" t="s">
        <v>61</v>
      </c>
      <c r="F111" s="15">
        <f t="shared" si="23"/>
        <v>21472742</v>
      </c>
      <c r="G111" s="21" t="s">
        <v>62</v>
      </c>
      <c r="H111" s="15">
        <v>0</v>
      </c>
      <c r="I111" s="21" t="s">
        <v>359</v>
      </c>
      <c r="J111" s="21" t="s">
        <v>64</v>
      </c>
      <c r="K111" s="21" t="s">
        <v>615</v>
      </c>
      <c r="L111" s="112">
        <v>44900</v>
      </c>
      <c r="M111" s="127">
        <v>176921</v>
      </c>
      <c r="N111" s="114">
        <v>44477</v>
      </c>
      <c r="O111" s="115" t="s">
        <v>66</v>
      </c>
      <c r="P111" s="115" t="s">
        <v>767</v>
      </c>
      <c r="Q111" s="115" t="s">
        <v>112</v>
      </c>
      <c r="R111" s="116" t="s">
        <v>360</v>
      </c>
      <c r="S111" s="115" t="s">
        <v>69</v>
      </c>
      <c r="T111" s="117">
        <v>44901</v>
      </c>
      <c r="U111" s="117"/>
      <c r="V111" s="118">
        <v>21472742</v>
      </c>
      <c r="W111" s="118"/>
      <c r="X111" s="118" t="s">
        <v>1154</v>
      </c>
      <c r="Y111" s="118">
        <f>+V111</f>
        <v>21472742</v>
      </c>
      <c r="Z111" s="118" t="s">
        <v>79</v>
      </c>
      <c r="AA111" s="118">
        <v>0</v>
      </c>
      <c r="AB111" s="119" t="s">
        <v>361</v>
      </c>
      <c r="AC111" s="120">
        <v>44901</v>
      </c>
      <c r="AD111" s="121">
        <v>901583113</v>
      </c>
      <c r="AE111" s="122" t="s">
        <v>1293</v>
      </c>
      <c r="AF111" s="126"/>
      <c r="AG111" s="114"/>
      <c r="AH111" s="21" t="s">
        <v>616</v>
      </c>
      <c r="AI111" s="21"/>
      <c r="AJ111" s="21"/>
      <c r="AK111" s="118">
        <v>0</v>
      </c>
      <c r="AL111" s="118">
        <v>21472742</v>
      </c>
      <c r="AM111" s="123"/>
      <c r="AN111" s="123"/>
      <c r="AO111" s="123"/>
      <c r="AP111" s="123"/>
      <c r="AQ111" s="123"/>
      <c r="AR111" s="123"/>
      <c r="AS111" s="123"/>
      <c r="AT111" s="123"/>
      <c r="AU111" s="123"/>
      <c r="AV111" s="123"/>
      <c r="AW111" s="124"/>
      <c r="AX111" s="124">
        <f>+AL111*(39/51)</f>
        <v>16420332.117647057</v>
      </c>
      <c r="AY111" s="124">
        <v>0</v>
      </c>
      <c r="AZ111" s="124">
        <v>0</v>
      </c>
      <c r="BA111" s="21"/>
      <c r="BB111" s="21"/>
      <c r="BC111" s="21"/>
      <c r="BD111" s="21"/>
      <c r="BE111" s="21"/>
      <c r="BF111" s="21"/>
      <c r="BG111" s="21"/>
      <c r="BH111" s="21"/>
      <c r="BI111" s="21"/>
      <c r="BJ111" s="21"/>
    </row>
    <row r="112" spans="1:62" ht="14" x14ac:dyDescent="0.15">
      <c r="A112" s="17">
        <v>108</v>
      </c>
      <c r="B112" s="16" t="s">
        <v>617</v>
      </c>
      <c r="C112" s="15">
        <v>2754935942</v>
      </c>
      <c r="D112" s="112">
        <v>44902</v>
      </c>
      <c r="E112" s="21" t="s">
        <v>480</v>
      </c>
      <c r="F112" s="15">
        <f t="shared" si="23"/>
        <v>2754935942</v>
      </c>
      <c r="G112" s="21" t="s">
        <v>62</v>
      </c>
      <c r="H112" s="15">
        <v>0</v>
      </c>
      <c r="I112" s="21" t="s">
        <v>140</v>
      </c>
      <c r="J112" s="21" t="s">
        <v>141</v>
      </c>
      <c r="K112" s="21" t="s">
        <v>618</v>
      </c>
      <c r="L112" s="112" t="s">
        <v>127</v>
      </c>
      <c r="M112" s="127">
        <v>9822</v>
      </c>
      <c r="N112" s="114">
        <v>44567</v>
      </c>
      <c r="O112" s="115" t="s">
        <v>66</v>
      </c>
      <c r="P112" s="115" t="s">
        <v>767</v>
      </c>
      <c r="Q112" s="115" t="s">
        <v>112</v>
      </c>
      <c r="R112" s="116" t="s">
        <v>619</v>
      </c>
      <c r="S112" s="115" t="s">
        <v>69</v>
      </c>
      <c r="T112" s="117">
        <v>44932</v>
      </c>
      <c r="U112" s="117"/>
      <c r="V112" s="118">
        <v>2753760504</v>
      </c>
      <c r="W112" s="118">
        <f t="shared" si="24"/>
        <v>2753760504</v>
      </c>
      <c r="X112" s="118" t="s">
        <v>1154</v>
      </c>
      <c r="Y112" s="118"/>
      <c r="Z112" s="125" t="s">
        <v>79</v>
      </c>
      <c r="AA112" s="118">
        <v>2</v>
      </c>
      <c r="AB112" s="119" t="s">
        <v>620</v>
      </c>
      <c r="AC112" s="120">
        <v>44964</v>
      </c>
      <c r="AD112" s="121">
        <v>901669958</v>
      </c>
      <c r="AE112" s="122" t="s">
        <v>1322</v>
      </c>
      <c r="AF112" s="126">
        <v>44981</v>
      </c>
      <c r="AG112" s="114">
        <v>45163</v>
      </c>
      <c r="AH112" s="21" t="s">
        <v>621</v>
      </c>
      <c r="AI112" s="21"/>
      <c r="AJ112" s="21"/>
      <c r="AK112" s="118">
        <v>47376890</v>
      </c>
      <c r="AL112" s="118">
        <f t="shared" ref="AL112:AL121" si="26">IF(AK112="","",V112-AK112)</f>
        <v>2706383614</v>
      </c>
      <c r="AM112" s="123">
        <v>0.20849999999999999</v>
      </c>
      <c r="AN112" s="123">
        <v>0.02</v>
      </c>
      <c r="AO112" s="123">
        <v>0.05</v>
      </c>
      <c r="AP112" s="123"/>
      <c r="AQ112" s="123"/>
      <c r="AR112" s="123"/>
      <c r="AS112" s="123"/>
      <c r="AT112" s="123"/>
      <c r="AU112" s="123"/>
      <c r="AV112" s="123">
        <v>0.1</v>
      </c>
      <c r="AW112" s="124">
        <f t="shared" ref="AW112:AW127" si="27">IF(AK112="","",AK112)</f>
        <v>47376890</v>
      </c>
      <c r="AX112" s="124">
        <f>IF(AK112="","",ROUND(AL112*0%,2))</f>
        <v>0</v>
      </c>
      <c r="AY112" s="124">
        <f>IF(AK112="","",ROUND(AL112*100%,2))</f>
        <v>2706383614</v>
      </c>
      <c r="AZ112" s="124">
        <f>IF(AK112="","",ROUND(AL112*0%,2))</f>
        <v>0</v>
      </c>
      <c r="BA112" s="21"/>
      <c r="BB112" s="21"/>
      <c r="BC112" s="21"/>
      <c r="BD112" s="21"/>
      <c r="BE112" s="21"/>
      <c r="BF112" s="21"/>
      <c r="BG112" s="21"/>
      <c r="BH112" s="134">
        <v>2</v>
      </c>
      <c r="BI112" s="21" t="s">
        <v>79</v>
      </c>
      <c r="BJ112" s="21"/>
    </row>
    <row r="113" spans="1:62" ht="14" x14ac:dyDescent="0.15">
      <c r="A113" s="17">
        <v>109</v>
      </c>
      <c r="B113" s="16" t="s">
        <v>622</v>
      </c>
      <c r="C113" s="15">
        <v>191652170</v>
      </c>
      <c r="D113" s="112">
        <v>44902</v>
      </c>
      <c r="E113" s="21" t="s">
        <v>85</v>
      </c>
      <c r="F113" s="15">
        <f t="shared" si="23"/>
        <v>191652170</v>
      </c>
      <c r="G113" s="21" t="s">
        <v>62</v>
      </c>
      <c r="H113" s="15">
        <v>0</v>
      </c>
      <c r="I113" s="21" t="s">
        <v>140</v>
      </c>
      <c r="J113" s="21" t="s">
        <v>141</v>
      </c>
      <c r="K113" s="21" t="s">
        <v>618</v>
      </c>
      <c r="L113" s="112" t="s">
        <v>127</v>
      </c>
      <c r="M113" s="127">
        <v>9822</v>
      </c>
      <c r="N113" s="114">
        <v>44567</v>
      </c>
      <c r="O113" s="115" t="s">
        <v>66</v>
      </c>
      <c r="P113" s="115" t="s">
        <v>767</v>
      </c>
      <c r="Q113" s="115" t="s">
        <v>112</v>
      </c>
      <c r="R113" s="116" t="s">
        <v>623</v>
      </c>
      <c r="S113" s="115" t="s">
        <v>69</v>
      </c>
      <c r="T113" s="117">
        <v>44936</v>
      </c>
      <c r="U113" s="117"/>
      <c r="V113" s="118">
        <v>178943714</v>
      </c>
      <c r="W113" s="118">
        <f t="shared" si="24"/>
        <v>178943714</v>
      </c>
      <c r="X113" s="118" t="s">
        <v>1154</v>
      </c>
      <c r="Y113" s="118"/>
      <c r="Z113" s="125" t="s">
        <v>79</v>
      </c>
      <c r="AA113" s="118">
        <v>0</v>
      </c>
      <c r="AB113" s="119" t="s">
        <v>624</v>
      </c>
      <c r="AC113" s="120">
        <v>44964</v>
      </c>
      <c r="AD113" s="121">
        <v>901587675</v>
      </c>
      <c r="AE113" s="122" t="s">
        <v>1312</v>
      </c>
      <c r="AF113" s="126">
        <v>44981</v>
      </c>
      <c r="AG113" s="114">
        <v>45280</v>
      </c>
      <c r="AH113" s="21" t="s">
        <v>399</v>
      </c>
      <c r="AI113" s="21"/>
      <c r="AJ113" s="21"/>
      <c r="AK113" s="118">
        <v>31460899</v>
      </c>
      <c r="AL113" s="118">
        <f t="shared" si="26"/>
        <v>147482815</v>
      </c>
      <c r="AM113" s="123"/>
      <c r="AN113" s="123"/>
      <c r="AO113" s="123"/>
      <c r="AP113" s="123"/>
      <c r="AQ113" s="123"/>
      <c r="AR113" s="123"/>
      <c r="AS113" s="123"/>
      <c r="AT113" s="123"/>
      <c r="AU113" s="123"/>
      <c r="AV113" s="123">
        <v>0.1</v>
      </c>
      <c r="AW113" s="124">
        <f t="shared" si="27"/>
        <v>31460899</v>
      </c>
      <c r="AX113" s="124">
        <f>IF(AK113="","",ROUND(AL113/6.5*50%,2))</f>
        <v>11344831.92</v>
      </c>
      <c r="AY113" s="124">
        <f>IF(AK113="","",ROUND(AL113*40%,2))</f>
        <v>58993126</v>
      </c>
      <c r="AZ113" s="124">
        <f>IF(AK113="","",ROUND(AL113*10%,2))</f>
        <v>14748281.5</v>
      </c>
      <c r="BA113" s="21" t="s">
        <v>554</v>
      </c>
      <c r="BB113" s="21"/>
      <c r="BC113" s="21"/>
      <c r="BD113" s="21"/>
      <c r="BE113" s="21"/>
      <c r="BF113" s="21"/>
      <c r="BG113" s="21"/>
      <c r="BH113" s="21"/>
      <c r="BI113" s="21"/>
      <c r="BJ113" s="21"/>
    </row>
    <row r="114" spans="1:62" ht="14" x14ac:dyDescent="0.15">
      <c r="A114" s="17">
        <v>110</v>
      </c>
      <c r="B114" s="16" t="s">
        <v>625</v>
      </c>
      <c r="C114" s="15">
        <v>2641987088</v>
      </c>
      <c r="D114" s="112">
        <v>44902</v>
      </c>
      <c r="E114" s="21" t="s">
        <v>480</v>
      </c>
      <c r="F114" s="15">
        <f t="shared" si="23"/>
        <v>2641987088</v>
      </c>
      <c r="G114" s="21" t="s">
        <v>62</v>
      </c>
      <c r="H114" s="15">
        <v>0</v>
      </c>
      <c r="I114" s="21" t="s">
        <v>626</v>
      </c>
      <c r="J114" s="21" t="s">
        <v>384</v>
      </c>
      <c r="K114" s="21" t="s">
        <v>618</v>
      </c>
      <c r="L114" s="112" t="s">
        <v>127</v>
      </c>
      <c r="M114" s="127">
        <v>9822</v>
      </c>
      <c r="N114" s="114">
        <v>44567</v>
      </c>
      <c r="O114" s="115" t="s">
        <v>66</v>
      </c>
      <c r="P114" s="115" t="s">
        <v>767</v>
      </c>
      <c r="Q114" s="115" t="s">
        <v>112</v>
      </c>
      <c r="R114" s="116" t="s">
        <v>627</v>
      </c>
      <c r="S114" s="115" t="s">
        <v>69</v>
      </c>
      <c r="T114" s="117">
        <v>44932</v>
      </c>
      <c r="U114" s="117"/>
      <c r="V114" s="118">
        <v>2539760336</v>
      </c>
      <c r="W114" s="118">
        <f t="shared" si="24"/>
        <v>2539760336</v>
      </c>
      <c r="X114" s="118" t="s">
        <v>1154</v>
      </c>
      <c r="Y114" s="118"/>
      <c r="Z114" s="118" t="s">
        <v>70</v>
      </c>
      <c r="AA114" s="118"/>
      <c r="AB114" s="119" t="s">
        <v>628</v>
      </c>
      <c r="AC114" s="120">
        <v>44970</v>
      </c>
      <c r="AD114" s="121">
        <v>901669883</v>
      </c>
      <c r="AE114" s="122" t="s">
        <v>1323</v>
      </c>
      <c r="AF114" s="126"/>
      <c r="AG114" s="114"/>
      <c r="AH114" s="21" t="s">
        <v>440</v>
      </c>
      <c r="AI114" s="21"/>
      <c r="AJ114" s="21"/>
      <c r="AK114" s="118">
        <v>55164467</v>
      </c>
      <c r="AL114" s="118">
        <f t="shared" si="26"/>
        <v>2484595869</v>
      </c>
      <c r="AM114" s="123">
        <v>0.254</v>
      </c>
      <c r="AN114" s="123">
        <v>0.02</v>
      </c>
      <c r="AO114" s="123">
        <v>0.05</v>
      </c>
      <c r="AP114" s="123"/>
      <c r="AQ114" s="123"/>
      <c r="AR114" s="123"/>
      <c r="AS114" s="123"/>
      <c r="AT114" s="123"/>
      <c r="AU114" s="123"/>
      <c r="AV114" s="123">
        <v>0.1</v>
      </c>
      <c r="AW114" s="124">
        <f t="shared" si="27"/>
        <v>55164467</v>
      </c>
      <c r="AX114" s="124">
        <f>IF(AK114="","",ROUND(AL114*0%,2))</f>
        <v>0</v>
      </c>
      <c r="AY114" s="124">
        <f>IF(AK114="","",ROUND(AL114*100%,2))</f>
        <v>2484595869</v>
      </c>
      <c r="AZ114" s="124">
        <f>IF(AK114="","",ROUND(AL114*0%,2))</f>
        <v>0</v>
      </c>
      <c r="BA114" s="21"/>
      <c r="BB114" s="21"/>
      <c r="BC114" s="21"/>
      <c r="BD114" s="21"/>
      <c r="BE114" s="21"/>
      <c r="BF114" s="21"/>
      <c r="BG114" s="21"/>
      <c r="BH114" s="21"/>
      <c r="BI114" s="21"/>
      <c r="BJ114" s="21"/>
    </row>
    <row r="115" spans="1:62" ht="14" x14ac:dyDescent="0.15">
      <c r="A115" s="17">
        <v>111</v>
      </c>
      <c r="B115" s="16" t="s">
        <v>629</v>
      </c>
      <c r="C115" s="15">
        <v>6117262117</v>
      </c>
      <c r="D115" s="112">
        <v>44902</v>
      </c>
      <c r="E115" s="21" t="s">
        <v>480</v>
      </c>
      <c r="F115" s="15">
        <f t="shared" si="23"/>
        <v>6117262117</v>
      </c>
      <c r="G115" s="21" t="s">
        <v>62</v>
      </c>
      <c r="H115" s="15">
        <v>0</v>
      </c>
      <c r="I115" s="21" t="s">
        <v>630</v>
      </c>
      <c r="J115" s="21" t="s">
        <v>340</v>
      </c>
      <c r="K115" s="21" t="s">
        <v>618</v>
      </c>
      <c r="L115" s="112" t="s">
        <v>127</v>
      </c>
      <c r="M115" s="127">
        <v>9822</v>
      </c>
      <c r="N115" s="114">
        <v>44567</v>
      </c>
      <c r="O115" s="115" t="s">
        <v>66</v>
      </c>
      <c r="P115" s="115" t="s">
        <v>767</v>
      </c>
      <c r="Q115" s="115" t="s">
        <v>112</v>
      </c>
      <c r="R115" s="116" t="s">
        <v>631</v>
      </c>
      <c r="S115" s="115" t="s">
        <v>69</v>
      </c>
      <c r="T115" s="117">
        <v>44932</v>
      </c>
      <c r="U115" s="117"/>
      <c r="V115" s="118">
        <v>5866032987</v>
      </c>
      <c r="W115" s="118">
        <f t="shared" si="24"/>
        <v>5866032987</v>
      </c>
      <c r="X115" s="118" t="s">
        <v>1154</v>
      </c>
      <c r="Y115" s="118"/>
      <c r="Z115" s="125" t="s">
        <v>632</v>
      </c>
      <c r="AA115" s="118"/>
      <c r="AB115" s="119" t="s">
        <v>633</v>
      </c>
      <c r="AC115" s="120">
        <v>44966</v>
      </c>
      <c r="AD115" s="121">
        <v>901671058</v>
      </c>
      <c r="AE115" s="122" t="s">
        <v>1324</v>
      </c>
      <c r="AF115" s="126"/>
      <c r="AG115" s="114"/>
      <c r="AH115" s="21" t="s">
        <v>115</v>
      </c>
      <c r="AI115" s="21"/>
      <c r="AJ115" s="21"/>
      <c r="AK115" s="118"/>
      <c r="AL115" s="118" t="str">
        <f t="shared" si="26"/>
        <v/>
      </c>
      <c r="AM115" s="123"/>
      <c r="AN115" s="123"/>
      <c r="AO115" s="123"/>
      <c r="AP115" s="123"/>
      <c r="AQ115" s="123"/>
      <c r="AR115" s="123"/>
      <c r="AS115" s="123"/>
      <c r="AT115" s="123"/>
      <c r="AU115" s="123"/>
      <c r="AV115" s="123"/>
      <c r="AW115" s="124" t="str">
        <f t="shared" si="27"/>
        <v/>
      </c>
      <c r="AX115" s="124" t="str">
        <f>IF(AK115="","",ROUND(AL115*0%,2))</f>
        <v/>
      </c>
      <c r="AY115" s="124" t="str">
        <f>IF(AK115="","",ROUND(AL115*100%,2))</f>
        <v/>
      </c>
      <c r="AZ115" s="124" t="str">
        <f>IF(AK115="","",ROUND(AL115*0%,2))</f>
        <v/>
      </c>
      <c r="BA115" s="21"/>
      <c r="BB115" s="21"/>
      <c r="BC115" s="21"/>
      <c r="BD115" s="21"/>
      <c r="BE115" s="21"/>
      <c r="BF115" s="21"/>
      <c r="BG115" s="21"/>
      <c r="BH115" s="21"/>
      <c r="BI115" s="21"/>
      <c r="BJ115" s="21"/>
    </row>
    <row r="116" spans="1:62" ht="14" x14ac:dyDescent="0.15">
      <c r="A116" s="17">
        <v>112</v>
      </c>
      <c r="B116" s="16" t="s">
        <v>634</v>
      </c>
      <c r="C116" s="15">
        <v>423819980</v>
      </c>
      <c r="D116" s="112">
        <v>44902</v>
      </c>
      <c r="E116" s="21" t="s">
        <v>85</v>
      </c>
      <c r="F116" s="15">
        <f t="shared" si="23"/>
        <v>423819980</v>
      </c>
      <c r="G116" s="21" t="s">
        <v>62</v>
      </c>
      <c r="H116" s="15">
        <v>0</v>
      </c>
      <c r="I116" s="21" t="s">
        <v>630</v>
      </c>
      <c r="J116" s="21" t="s">
        <v>340</v>
      </c>
      <c r="K116" s="21" t="s">
        <v>618</v>
      </c>
      <c r="L116" s="112" t="s">
        <v>127</v>
      </c>
      <c r="M116" s="127">
        <v>9822</v>
      </c>
      <c r="N116" s="114">
        <v>44567</v>
      </c>
      <c r="O116" s="115" t="s">
        <v>66</v>
      </c>
      <c r="P116" s="115" t="s">
        <v>767</v>
      </c>
      <c r="Q116" s="115" t="s">
        <v>112</v>
      </c>
      <c r="R116" s="116" t="s">
        <v>635</v>
      </c>
      <c r="S116" s="115" t="s">
        <v>69</v>
      </c>
      <c r="T116" s="117">
        <v>44936</v>
      </c>
      <c r="U116" s="117"/>
      <c r="V116" s="118">
        <v>400280296</v>
      </c>
      <c r="W116" s="118">
        <f t="shared" si="24"/>
        <v>400280296</v>
      </c>
      <c r="X116" s="118" t="s">
        <v>1154</v>
      </c>
      <c r="Y116" s="118"/>
      <c r="Z116" s="125" t="s">
        <v>608</v>
      </c>
      <c r="AA116" s="118"/>
      <c r="AB116" s="119" t="s">
        <v>636</v>
      </c>
      <c r="AC116" s="120">
        <v>44972</v>
      </c>
      <c r="AD116" s="121">
        <v>901673982</v>
      </c>
      <c r="AE116" s="122" t="s">
        <v>1325</v>
      </c>
      <c r="AF116" s="126"/>
      <c r="AG116" s="114"/>
      <c r="AH116" s="21" t="s">
        <v>637</v>
      </c>
      <c r="AI116" s="21"/>
      <c r="AJ116" s="21"/>
      <c r="AK116" s="118">
        <v>36012079</v>
      </c>
      <c r="AL116" s="118">
        <f t="shared" si="26"/>
        <v>364268217</v>
      </c>
      <c r="AM116" s="123"/>
      <c r="AN116" s="123"/>
      <c r="AO116" s="123"/>
      <c r="AP116" s="123"/>
      <c r="AQ116" s="123"/>
      <c r="AR116" s="123"/>
      <c r="AS116" s="123"/>
      <c r="AT116" s="123"/>
      <c r="AU116" s="123"/>
      <c r="AV116" s="123">
        <v>0.1</v>
      </c>
      <c r="AW116" s="124">
        <f t="shared" si="27"/>
        <v>36012079</v>
      </c>
      <c r="AX116" s="124">
        <f>IF(AK116="","",ROUND(AL116/INT(LEFT(AH116,FIND("m",AH116)-1))*50%,0))</f>
        <v>18213411</v>
      </c>
      <c r="AY116" s="124">
        <f>IF(AK116="","",ROUND(AL116*40%,2))</f>
        <v>145707286.80000001</v>
      </c>
      <c r="AZ116" s="124">
        <f>IF(AK116="","",ROUND(AL116*10%,2))</f>
        <v>36426821.700000003</v>
      </c>
      <c r="BA116" s="21"/>
      <c r="BB116" s="21"/>
      <c r="BC116" s="21"/>
      <c r="BD116" s="21"/>
      <c r="BE116" s="21"/>
      <c r="BF116" s="21"/>
      <c r="BG116" s="21"/>
      <c r="BH116" s="21"/>
      <c r="BI116" s="21"/>
      <c r="BJ116" s="21"/>
    </row>
    <row r="117" spans="1:62" ht="14" x14ac:dyDescent="0.15">
      <c r="A117" s="17">
        <v>113</v>
      </c>
      <c r="B117" s="16" t="s">
        <v>638</v>
      </c>
      <c r="C117" s="15">
        <v>1399271328</v>
      </c>
      <c r="D117" s="112">
        <v>44902</v>
      </c>
      <c r="E117" s="21" t="s">
        <v>480</v>
      </c>
      <c r="F117" s="15">
        <f t="shared" si="23"/>
        <v>1399271328</v>
      </c>
      <c r="G117" s="21" t="s">
        <v>62</v>
      </c>
      <c r="H117" s="15">
        <v>0</v>
      </c>
      <c r="I117" s="21" t="s">
        <v>639</v>
      </c>
      <c r="J117" s="21" t="s">
        <v>141</v>
      </c>
      <c r="K117" s="21" t="s">
        <v>618</v>
      </c>
      <c r="L117" s="112" t="s">
        <v>127</v>
      </c>
      <c r="M117" s="127">
        <v>9822</v>
      </c>
      <c r="N117" s="114">
        <v>44567</v>
      </c>
      <c r="O117" s="115" t="s">
        <v>66</v>
      </c>
      <c r="P117" s="115" t="s">
        <v>767</v>
      </c>
      <c r="Q117" s="115" t="s">
        <v>112</v>
      </c>
      <c r="R117" s="116" t="s">
        <v>640</v>
      </c>
      <c r="S117" s="115" t="s">
        <v>69</v>
      </c>
      <c r="T117" s="117">
        <v>44932</v>
      </c>
      <c r="U117" s="117"/>
      <c r="V117" s="118">
        <v>1347226153</v>
      </c>
      <c r="W117" s="118">
        <f t="shared" si="24"/>
        <v>1347226153</v>
      </c>
      <c r="X117" s="118" t="s">
        <v>1154</v>
      </c>
      <c r="Y117" s="118"/>
      <c r="Z117" s="118" t="s">
        <v>79</v>
      </c>
      <c r="AA117" s="118">
        <v>0</v>
      </c>
      <c r="AB117" s="119" t="s">
        <v>641</v>
      </c>
      <c r="AC117" s="120">
        <v>44973</v>
      </c>
      <c r="AD117" s="121">
        <v>900072667</v>
      </c>
      <c r="AE117" s="122" t="s">
        <v>1326</v>
      </c>
      <c r="AF117" s="126">
        <v>44986</v>
      </c>
      <c r="AG117" s="114">
        <v>45153</v>
      </c>
      <c r="AH117" s="21" t="s">
        <v>440</v>
      </c>
      <c r="AI117" s="21"/>
      <c r="AJ117" s="21"/>
      <c r="AK117" s="118">
        <v>55534670</v>
      </c>
      <c r="AL117" s="118">
        <f t="shared" si="26"/>
        <v>1291691483</v>
      </c>
      <c r="AM117" s="123">
        <v>0.29239999999999999</v>
      </c>
      <c r="AN117" s="123">
        <v>0.02</v>
      </c>
      <c r="AO117" s="123">
        <v>0.05</v>
      </c>
      <c r="AP117" s="123"/>
      <c r="AQ117" s="123"/>
      <c r="AR117" s="123"/>
      <c r="AS117" s="123"/>
      <c r="AT117" s="123"/>
      <c r="AU117" s="123"/>
      <c r="AV117" s="123">
        <v>0.1</v>
      </c>
      <c r="AW117" s="124">
        <f t="shared" si="27"/>
        <v>55534670</v>
      </c>
      <c r="AX117" s="124">
        <v>0</v>
      </c>
      <c r="AY117" s="124">
        <f>IF(AK117="","",ROUND(AL117*100%,2))</f>
        <v>1291691483</v>
      </c>
      <c r="AZ117" s="124">
        <v>0</v>
      </c>
      <c r="BA117" s="21" t="s">
        <v>554</v>
      </c>
      <c r="BB117" s="21"/>
      <c r="BC117" s="21"/>
      <c r="BD117" s="21"/>
      <c r="BE117" s="21"/>
      <c r="BF117" s="21"/>
      <c r="BG117" s="21"/>
      <c r="BH117" s="21"/>
      <c r="BI117" s="21"/>
      <c r="BJ117" s="21"/>
    </row>
    <row r="118" spans="1:62" ht="14" x14ac:dyDescent="0.15">
      <c r="A118" s="17">
        <v>114</v>
      </c>
      <c r="B118" s="16" t="s">
        <v>642</v>
      </c>
      <c r="C118" s="15">
        <v>205381800</v>
      </c>
      <c r="D118" s="112">
        <v>44902</v>
      </c>
      <c r="E118" s="21" t="s">
        <v>85</v>
      </c>
      <c r="F118" s="15">
        <f t="shared" si="23"/>
        <v>205381800</v>
      </c>
      <c r="G118" s="21" t="s">
        <v>62</v>
      </c>
      <c r="H118" s="15">
        <v>0</v>
      </c>
      <c r="I118" s="21" t="s">
        <v>639</v>
      </c>
      <c r="J118" s="21" t="s">
        <v>141</v>
      </c>
      <c r="K118" s="21" t="s">
        <v>618</v>
      </c>
      <c r="L118" s="112" t="s">
        <v>127</v>
      </c>
      <c r="M118" s="127">
        <v>9822</v>
      </c>
      <c r="N118" s="114">
        <v>44567</v>
      </c>
      <c r="O118" s="115" t="s">
        <v>66</v>
      </c>
      <c r="P118" s="115" t="s">
        <v>767</v>
      </c>
      <c r="Q118" s="115" t="s">
        <v>112</v>
      </c>
      <c r="R118" s="116" t="s">
        <v>643</v>
      </c>
      <c r="S118" s="115" t="s">
        <v>69</v>
      </c>
      <c r="T118" s="117">
        <v>44936</v>
      </c>
      <c r="U118" s="117"/>
      <c r="V118" s="118">
        <v>194188492</v>
      </c>
      <c r="W118" s="118">
        <f t="shared" si="24"/>
        <v>194188492</v>
      </c>
      <c r="X118" s="118" t="s">
        <v>1154</v>
      </c>
      <c r="Y118" s="118"/>
      <c r="Z118" s="125" t="s">
        <v>79</v>
      </c>
      <c r="AA118" s="118">
        <v>0</v>
      </c>
      <c r="AB118" s="119" t="s">
        <v>644</v>
      </c>
      <c r="AC118" s="120">
        <v>44959</v>
      </c>
      <c r="AD118" s="121">
        <v>10549160</v>
      </c>
      <c r="AE118" s="122" t="s">
        <v>1327</v>
      </c>
      <c r="AF118" s="126">
        <v>44986</v>
      </c>
      <c r="AG118" s="114">
        <v>45214</v>
      </c>
      <c r="AH118" s="21" t="s">
        <v>600</v>
      </c>
      <c r="AI118" s="21"/>
      <c r="AJ118" s="21"/>
      <c r="AK118" s="118">
        <v>35258622</v>
      </c>
      <c r="AL118" s="118">
        <f t="shared" si="26"/>
        <v>158929870</v>
      </c>
      <c r="AM118" s="123"/>
      <c r="AN118" s="123"/>
      <c r="AO118" s="123"/>
      <c r="AP118" s="123"/>
      <c r="AQ118" s="123"/>
      <c r="AR118" s="123"/>
      <c r="AS118" s="123"/>
      <c r="AT118" s="123"/>
      <c r="AU118" s="123"/>
      <c r="AV118" s="123">
        <v>0.1</v>
      </c>
      <c r="AW118" s="124">
        <f t="shared" si="27"/>
        <v>35258622</v>
      </c>
      <c r="AX118" s="124">
        <f>IF(AK118="","",ROUND(AL118/INT(LEFT(AH118,FIND("m",AH118)-1))*50%,2))</f>
        <v>13244155.83</v>
      </c>
      <c r="AY118" s="124">
        <f>IF(AK118="","",ROUND(AL118*40%,2))</f>
        <v>63571948</v>
      </c>
      <c r="AZ118" s="124">
        <f>IF(AK118="","",ROUND(AL118*10%,2))</f>
        <v>15892987</v>
      </c>
      <c r="BA118" s="21" t="s">
        <v>554</v>
      </c>
      <c r="BB118" s="21"/>
      <c r="BC118" s="21"/>
      <c r="BD118" s="21"/>
      <c r="BE118" s="21"/>
      <c r="BF118" s="21"/>
      <c r="BG118" s="21"/>
      <c r="BH118" s="21"/>
      <c r="BI118" s="21"/>
      <c r="BJ118" s="21"/>
    </row>
    <row r="119" spans="1:62" ht="14" x14ac:dyDescent="0.15">
      <c r="A119" s="17">
        <v>115</v>
      </c>
      <c r="B119" s="16" t="s">
        <v>645</v>
      </c>
      <c r="C119" s="15">
        <v>204571660</v>
      </c>
      <c r="D119" s="112">
        <v>44902</v>
      </c>
      <c r="E119" s="21" t="s">
        <v>85</v>
      </c>
      <c r="F119" s="15">
        <f t="shared" si="23"/>
        <v>204571660</v>
      </c>
      <c r="G119" s="21" t="s">
        <v>62</v>
      </c>
      <c r="H119" s="15">
        <v>0</v>
      </c>
      <c r="I119" s="21" t="s">
        <v>626</v>
      </c>
      <c r="J119" s="21" t="s">
        <v>384</v>
      </c>
      <c r="K119" s="21" t="s">
        <v>618</v>
      </c>
      <c r="L119" s="112" t="s">
        <v>127</v>
      </c>
      <c r="M119" s="127">
        <v>9822</v>
      </c>
      <c r="N119" s="114">
        <v>44567</v>
      </c>
      <c r="O119" s="115" t="s">
        <v>66</v>
      </c>
      <c r="P119" s="115" t="s">
        <v>767</v>
      </c>
      <c r="Q119" s="115" t="s">
        <v>112</v>
      </c>
      <c r="R119" s="116" t="s">
        <v>646</v>
      </c>
      <c r="S119" s="115" t="s">
        <v>69</v>
      </c>
      <c r="T119" s="117">
        <v>44936</v>
      </c>
      <c r="U119" s="117"/>
      <c r="V119" s="118">
        <v>193422504</v>
      </c>
      <c r="W119" s="118">
        <f t="shared" si="24"/>
        <v>193422504</v>
      </c>
      <c r="X119" s="118" t="s">
        <v>1154</v>
      </c>
      <c r="Y119" s="118"/>
      <c r="Z119" s="118" t="s">
        <v>70</v>
      </c>
      <c r="AA119" s="118"/>
      <c r="AB119" s="119" t="s">
        <v>647</v>
      </c>
      <c r="AC119" s="120">
        <v>44964</v>
      </c>
      <c r="AD119" s="121">
        <v>10549160</v>
      </c>
      <c r="AE119" s="122" t="s">
        <v>1327</v>
      </c>
      <c r="AF119" s="126">
        <v>44984</v>
      </c>
      <c r="AG119" s="114">
        <v>45245</v>
      </c>
      <c r="AH119" s="21" t="s">
        <v>600</v>
      </c>
      <c r="AI119" s="21"/>
      <c r="AJ119" s="21"/>
      <c r="AK119" s="118">
        <v>34905184</v>
      </c>
      <c r="AL119" s="118">
        <f t="shared" si="26"/>
        <v>158517320</v>
      </c>
      <c r="AM119" s="123"/>
      <c r="AN119" s="123"/>
      <c r="AO119" s="123"/>
      <c r="AP119" s="123"/>
      <c r="AQ119" s="123"/>
      <c r="AR119" s="123"/>
      <c r="AS119" s="123"/>
      <c r="AT119" s="123"/>
      <c r="AU119" s="123"/>
      <c r="AV119" s="123">
        <v>0.1</v>
      </c>
      <c r="AW119" s="124">
        <f t="shared" si="27"/>
        <v>34905184</v>
      </c>
      <c r="AX119" s="124">
        <f>IF(AK119="","",ROUND(AL119/INT(LEFT(AH119,FIND("m",AH119)-1))*50%,2))</f>
        <v>13209776.67</v>
      </c>
      <c r="AY119" s="124">
        <f>IF(AK119="","",ROUND(AL119*40%,2))</f>
        <v>63406928</v>
      </c>
      <c r="AZ119" s="124">
        <f>IF(AK119="","",ROUND(AL119*10%,2))</f>
        <v>15851732</v>
      </c>
      <c r="BA119" s="21" t="s">
        <v>299</v>
      </c>
      <c r="BB119" s="21"/>
      <c r="BC119" s="21"/>
      <c r="BD119" s="21"/>
      <c r="BE119" s="21"/>
      <c r="BF119" s="21"/>
      <c r="BG119" s="21"/>
      <c r="BH119" s="21"/>
      <c r="BI119" s="21"/>
      <c r="BJ119" s="21"/>
    </row>
    <row r="120" spans="1:62" ht="14" x14ac:dyDescent="0.15">
      <c r="A120" s="17">
        <v>116</v>
      </c>
      <c r="B120" s="16" t="s">
        <v>648</v>
      </c>
      <c r="C120" s="15">
        <v>1689014365</v>
      </c>
      <c r="D120" s="112">
        <v>44902</v>
      </c>
      <c r="E120" s="21" t="s">
        <v>480</v>
      </c>
      <c r="F120" s="15">
        <f t="shared" si="23"/>
        <v>1689014365</v>
      </c>
      <c r="G120" s="21" t="s">
        <v>62</v>
      </c>
      <c r="H120" s="15">
        <v>0</v>
      </c>
      <c r="I120" s="21" t="s">
        <v>517</v>
      </c>
      <c r="J120" s="21" t="s">
        <v>518</v>
      </c>
      <c r="K120" s="21" t="s">
        <v>618</v>
      </c>
      <c r="L120" s="112" t="s">
        <v>127</v>
      </c>
      <c r="M120" s="127">
        <v>9822</v>
      </c>
      <c r="N120" s="114">
        <v>44567</v>
      </c>
      <c r="O120" s="115" t="s">
        <v>66</v>
      </c>
      <c r="P120" s="115" t="s">
        <v>767</v>
      </c>
      <c r="Q120" s="115" t="s">
        <v>112</v>
      </c>
      <c r="R120" s="116" t="s">
        <v>649</v>
      </c>
      <c r="S120" s="115" t="s">
        <v>69</v>
      </c>
      <c r="T120" s="117">
        <v>44936</v>
      </c>
      <c r="U120" s="117"/>
      <c r="V120" s="118">
        <v>1629277869</v>
      </c>
      <c r="W120" s="118">
        <f t="shared" si="24"/>
        <v>1629277869</v>
      </c>
      <c r="X120" s="118" t="s">
        <v>1154</v>
      </c>
      <c r="Y120" s="118"/>
      <c r="Z120" s="125" t="s">
        <v>79</v>
      </c>
      <c r="AA120" s="118">
        <v>0</v>
      </c>
      <c r="AB120" s="119" t="s">
        <v>650</v>
      </c>
      <c r="AC120" s="120">
        <v>44966</v>
      </c>
      <c r="AD120" s="121">
        <v>901674566</v>
      </c>
      <c r="AE120" s="122" t="s">
        <v>1328</v>
      </c>
      <c r="AF120" s="126">
        <v>44981</v>
      </c>
      <c r="AG120" s="114">
        <v>45309</v>
      </c>
      <c r="AH120" s="21" t="s">
        <v>600</v>
      </c>
      <c r="AI120" s="21"/>
      <c r="AJ120" s="21"/>
      <c r="AK120" s="118">
        <v>55335000</v>
      </c>
      <c r="AL120" s="118">
        <f t="shared" si="26"/>
        <v>1573942869</v>
      </c>
      <c r="AM120" s="123">
        <v>0.308</v>
      </c>
      <c r="AN120" s="123">
        <v>2E-3</v>
      </c>
      <c r="AO120" s="123">
        <v>0.05</v>
      </c>
      <c r="AP120" s="123"/>
      <c r="AQ120" s="123"/>
      <c r="AR120" s="123"/>
      <c r="AS120" s="123"/>
      <c r="AT120" s="123"/>
      <c r="AU120" s="123"/>
      <c r="AV120" s="123">
        <v>0.1</v>
      </c>
      <c r="AW120" s="124">
        <f t="shared" si="27"/>
        <v>55335000</v>
      </c>
      <c r="AX120" s="124">
        <f>IF(AK120="","",ROUND(AL120*0%,2))</f>
        <v>0</v>
      </c>
      <c r="AY120" s="124">
        <f>IF(AK120="","",ROUND(AL120*100%,2))</f>
        <v>1573942869</v>
      </c>
      <c r="AZ120" s="124">
        <f>IF(AK120="","",ROUND(AL120*0%,2))</f>
        <v>0</v>
      </c>
      <c r="BA120" s="21" t="s">
        <v>99</v>
      </c>
      <c r="BB120" s="21"/>
      <c r="BC120" s="21"/>
      <c r="BD120" s="21"/>
      <c r="BE120" s="21"/>
      <c r="BF120" s="21"/>
      <c r="BG120" s="21"/>
      <c r="BH120" s="21"/>
      <c r="BI120" s="21"/>
      <c r="BJ120" s="21"/>
    </row>
    <row r="121" spans="1:62" ht="14" x14ac:dyDescent="0.15">
      <c r="A121" s="17">
        <v>117</v>
      </c>
      <c r="B121" s="16" t="s">
        <v>651</v>
      </c>
      <c r="C121" s="15">
        <v>284384970</v>
      </c>
      <c r="D121" s="112">
        <v>44902</v>
      </c>
      <c r="E121" s="21" t="s">
        <v>85</v>
      </c>
      <c r="F121" s="15">
        <f t="shared" si="23"/>
        <v>284384970</v>
      </c>
      <c r="G121" s="21" t="s">
        <v>62</v>
      </c>
      <c r="H121" s="15">
        <v>0</v>
      </c>
      <c r="I121" s="21" t="s">
        <v>517</v>
      </c>
      <c r="J121" s="21" t="s">
        <v>518</v>
      </c>
      <c r="K121" s="21" t="s">
        <v>618</v>
      </c>
      <c r="L121" s="112" t="s">
        <v>127</v>
      </c>
      <c r="M121" s="127">
        <v>9822</v>
      </c>
      <c r="N121" s="114">
        <v>44567</v>
      </c>
      <c r="O121" s="115" t="s">
        <v>66</v>
      </c>
      <c r="P121" s="115" t="s">
        <v>767</v>
      </c>
      <c r="Q121" s="115" t="s">
        <v>112</v>
      </c>
      <c r="R121" s="116" t="s">
        <v>652</v>
      </c>
      <c r="S121" s="115" t="s">
        <v>69</v>
      </c>
      <c r="T121" s="117">
        <v>44936</v>
      </c>
      <c r="U121" s="117"/>
      <c r="V121" s="118">
        <v>266197050</v>
      </c>
      <c r="W121" s="118">
        <f>+V121</f>
        <v>266197050</v>
      </c>
      <c r="X121" s="118" t="s">
        <v>1154</v>
      </c>
      <c r="Y121" s="118"/>
      <c r="Z121" s="125" t="s">
        <v>79</v>
      </c>
      <c r="AA121" s="118">
        <v>0</v>
      </c>
      <c r="AB121" s="119" t="s">
        <v>653</v>
      </c>
      <c r="AC121" s="120">
        <v>44967</v>
      </c>
      <c r="AD121" s="121">
        <v>900426155</v>
      </c>
      <c r="AE121" s="122" t="s">
        <v>1329</v>
      </c>
      <c r="AF121" s="126">
        <v>44981</v>
      </c>
      <c r="AG121" s="114">
        <v>45369</v>
      </c>
      <c r="AH121" s="21" t="s">
        <v>604</v>
      </c>
      <c r="AI121" s="21"/>
      <c r="AJ121" s="21"/>
      <c r="AK121" s="118">
        <v>37128000</v>
      </c>
      <c r="AL121" s="118">
        <f t="shared" si="26"/>
        <v>229069050</v>
      </c>
      <c r="AM121" s="123"/>
      <c r="AN121" s="123"/>
      <c r="AO121" s="123"/>
      <c r="AP121" s="123"/>
      <c r="AQ121" s="123"/>
      <c r="AR121" s="123"/>
      <c r="AS121" s="123"/>
      <c r="AT121" s="123"/>
      <c r="AU121" s="123"/>
      <c r="AV121" s="123">
        <v>0.1</v>
      </c>
      <c r="AW121" s="124">
        <f t="shared" si="27"/>
        <v>37128000</v>
      </c>
      <c r="AX121" s="124">
        <f>IF(AK121="","",ROUND(AL121/INT(LEFT(AH121,FIND("m",AH121)-1))*50%,2))</f>
        <v>14316815.630000001</v>
      </c>
      <c r="AY121" s="124">
        <f>IF(AK121="","",ROUND(AL121*40%,2))</f>
        <v>91627620</v>
      </c>
      <c r="AZ121" s="124">
        <f>IF(AK121="","",ROUND(AL121*10%,2))</f>
        <v>22906905</v>
      </c>
      <c r="BA121" s="21"/>
      <c r="BB121" s="21"/>
      <c r="BC121" s="21"/>
      <c r="BD121" s="21"/>
      <c r="BE121" s="21"/>
      <c r="BF121" s="21"/>
      <c r="BG121" s="21"/>
      <c r="BH121" s="21"/>
      <c r="BI121" s="21"/>
      <c r="BJ121" s="21"/>
    </row>
    <row r="122" spans="1:62" ht="14" x14ac:dyDescent="0.15">
      <c r="A122" s="17">
        <v>118</v>
      </c>
      <c r="B122" s="16" t="s">
        <v>654</v>
      </c>
      <c r="C122" s="15">
        <v>555062269</v>
      </c>
      <c r="D122" s="112">
        <v>44914</v>
      </c>
      <c r="E122" s="21" t="s">
        <v>480</v>
      </c>
      <c r="F122" s="15">
        <f t="shared" si="23"/>
        <v>555062269</v>
      </c>
      <c r="G122" s="21" t="s">
        <v>62</v>
      </c>
      <c r="H122" s="15">
        <v>0</v>
      </c>
      <c r="I122" s="21" t="s">
        <v>489</v>
      </c>
      <c r="J122" s="21" t="s">
        <v>489</v>
      </c>
      <c r="K122" s="21" t="s">
        <v>655</v>
      </c>
      <c r="L122" s="112">
        <v>44914</v>
      </c>
      <c r="M122" s="127">
        <v>9822</v>
      </c>
      <c r="N122" s="114">
        <v>44567</v>
      </c>
      <c r="O122" s="115" t="s">
        <v>66</v>
      </c>
      <c r="P122" s="115" t="s">
        <v>767</v>
      </c>
      <c r="Q122" s="115" t="s">
        <v>112</v>
      </c>
      <c r="R122" s="116" t="s">
        <v>491</v>
      </c>
      <c r="S122" s="115" t="s">
        <v>69</v>
      </c>
      <c r="T122" s="117">
        <v>44915</v>
      </c>
      <c r="U122" s="117"/>
      <c r="V122" s="118">
        <v>555062269</v>
      </c>
      <c r="W122" s="118"/>
      <c r="X122" s="118" t="s">
        <v>1154</v>
      </c>
      <c r="Y122" s="118">
        <f>+C122</f>
        <v>555062269</v>
      </c>
      <c r="Z122" s="125" t="s">
        <v>79</v>
      </c>
      <c r="AA122" s="118">
        <v>0</v>
      </c>
      <c r="AB122" s="119" t="s">
        <v>492</v>
      </c>
      <c r="AC122" s="126">
        <v>44915</v>
      </c>
      <c r="AD122" s="121">
        <v>901593328</v>
      </c>
      <c r="AE122" s="122" t="s">
        <v>1308</v>
      </c>
      <c r="AF122" s="126"/>
      <c r="AG122" s="114"/>
      <c r="AH122" s="21" t="s">
        <v>326</v>
      </c>
      <c r="AI122" s="21"/>
      <c r="AJ122" s="21"/>
      <c r="AK122" s="118">
        <v>0</v>
      </c>
      <c r="AL122" s="118">
        <v>555062269</v>
      </c>
      <c r="AM122" s="123"/>
      <c r="AN122" s="123"/>
      <c r="AO122" s="123"/>
      <c r="AP122" s="123"/>
      <c r="AQ122" s="123"/>
      <c r="AR122" s="123"/>
      <c r="AS122" s="123"/>
      <c r="AT122" s="123"/>
      <c r="AU122" s="123"/>
      <c r="AV122" s="123"/>
      <c r="AW122" s="124">
        <f t="shared" si="27"/>
        <v>0</v>
      </c>
      <c r="AX122" s="124">
        <f>IF(AK122="","",ROUND(AL122*0%,2))</f>
        <v>0</v>
      </c>
      <c r="AY122" s="124">
        <f>IF(AK122="","",ROUND(AL122*100%,2))</f>
        <v>555062269</v>
      </c>
      <c r="AZ122" s="124">
        <f>IF(AK122="","",ROUND(AL122*0%,2))</f>
        <v>0</v>
      </c>
      <c r="BA122" s="21" t="s">
        <v>108</v>
      </c>
      <c r="BB122" s="21"/>
      <c r="BC122" s="21"/>
      <c r="BD122" s="21"/>
      <c r="BE122" s="21"/>
      <c r="BF122" s="21"/>
      <c r="BG122" s="21"/>
      <c r="BH122" s="21"/>
      <c r="BI122" s="21"/>
      <c r="BJ122" s="21"/>
    </row>
    <row r="123" spans="1:62" ht="14" x14ac:dyDescent="0.15">
      <c r="A123" s="17">
        <v>119</v>
      </c>
      <c r="B123" s="16" t="s">
        <v>656</v>
      </c>
      <c r="C123" s="15">
        <v>21979500</v>
      </c>
      <c r="D123" s="112">
        <v>44914</v>
      </c>
      <c r="E123" s="21" t="s">
        <v>85</v>
      </c>
      <c r="F123" s="15">
        <f t="shared" si="23"/>
        <v>21979500</v>
      </c>
      <c r="G123" s="21" t="s">
        <v>62</v>
      </c>
      <c r="H123" s="15">
        <v>0</v>
      </c>
      <c r="I123" s="21" t="s">
        <v>489</v>
      </c>
      <c r="J123" s="21" t="s">
        <v>489</v>
      </c>
      <c r="K123" s="21" t="s">
        <v>657</v>
      </c>
      <c r="L123" s="112">
        <v>44914</v>
      </c>
      <c r="M123" s="127">
        <v>9822</v>
      </c>
      <c r="N123" s="114">
        <v>44567</v>
      </c>
      <c r="O123" s="115" t="s">
        <v>66</v>
      </c>
      <c r="P123" s="115" t="s">
        <v>767</v>
      </c>
      <c r="Q123" s="115" t="s">
        <v>112</v>
      </c>
      <c r="R123" s="116" t="s">
        <v>527</v>
      </c>
      <c r="S123" s="115" t="s">
        <v>69</v>
      </c>
      <c r="T123" s="117"/>
      <c r="U123" s="117"/>
      <c r="V123" s="118">
        <v>21979500</v>
      </c>
      <c r="W123" s="118"/>
      <c r="X123" s="118" t="s">
        <v>1154</v>
      </c>
      <c r="Y123" s="118">
        <f>+C123</f>
        <v>21979500</v>
      </c>
      <c r="Z123" s="125" t="s">
        <v>79</v>
      </c>
      <c r="AA123" s="118">
        <v>0</v>
      </c>
      <c r="AB123" s="119" t="s">
        <v>528</v>
      </c>
      <c r="AC123" s="120"/>
      <c r="AD123" s="121">
        <v>901584450</v>
      </c>
      <c r="AE123" s="122" t="s">
        <v>1300</v>
      </c>
      <c r="AF123" s="126"/>
      <c r="AG123" s="114"/>
      <c r="AH123" s="21" t="s">
        <v>326</v>
      </c>
      <c r="AI123" s="21"/>
      <c r="AJ123" s="21"/>
      <c r="AK123" s="118"/>
      <c r="AL123" s="15">
        <v>21979500</v>
      </c>
      <c r="AM123" s="123"/>
      <c r="AN123" s="123"/>
      <c r="AO123" s="123"/>
      <c r="AP123" s="123"/>
      <c r="AQ123" s="123"/>
      <c r="AR123" s="123"/>
      <c r="AS123" s="123"/>
      <c r="AT123" s="123"/>
      <c r="AU123" s="123"/>
      <c r="AV123" s="123"/>
      <c r="AW123" s="124" t="str">
        <f t="shared" si="27"/>
        <v/>
      </c>
      <c r="AX123" s="124">
        <f>AL123/3</f>
        <v>7326500</v>
      </c>
      <c r="AY123" s="124" t="str">
        <f>IF(AK123="","",ROUND(AL123*40%,2))</f>
        <v/>
      </c>
      <c r="AZ123" s="124" t="str">
        <f>IF(AK123="","",ROUND(AL123*10%,2))</f>
        <v/>
      </c>
      <c r="BA123" s="21"/>
      <c r="BB123" s="21"/>
      <c r="BC123" s="21"/>
      <c r="BD123" s="21"/>
      <c r="BE123" s="21"/>
      <c r="BF123" s="21"/>
      <c r="BG123" s="21"/>
      <c r="BH123" s="21"/>
      <c r="BI123" s="21"/>
      <c r="BJ123" s="21"/>
    </row>
    <row r="124" spans="1:62" ht="14" x14ac:dyDescent="0.15">
      <c r="A124" s="17">
        <v>120</v>
      </c>
      <c r="B124" s="21" t="s">
        <v>658</v>
      </c>
      <c r="C124" s="15">
        <v>8000000</v>
      </c>
      <c r="D124" s="112">
        <v>44914</v>
      </c>
      <c r="E124" s="21" t="s">
        <v>61</v>
      </c>
      <c r="F124" s="15">
        <f t="shared" si="23"/>
        <v>8000000</v>
      </c>
      <c r="G124" s="21" t="s">
        <v>62</v>
      </c>
      <c r="H124" s="15">
        <f t="shared" ref="H124:H155" si="28">C124-F124</f>
        <v>0</v>
      </c>
      <c r="I124" s="21" t="s">
        <v>289</v>
      </c>
      <c r="J124" s="21" t="s">
        <v>64</v>
      </c>
      <c r="K124" s="21" t="s">
        <v>659</v>
      </c>
      <c r="L124" s="112">
        <v>44914</v>
      </c>
      <c r="M124" s="127">
        <v>176921</v>
      </c>
      <c r="N124" s="114">
        <v>44477</v>
      </c>
      <c r="O124" s="115" t="s">
        <v>66</v>
      </c>
      <c r="P124" s="115" t="s">
        <v>767</v>
      </c>
      <c r="Q124" s="115" t="s">
        <v>112</v>
      </c>
      <c r="R124" s="116" t="s">
        <v>290</v>
      </c>
      <c r="S124" s="115" t="s">
        <v>69</v>
      </c>
      <c r="T124" s="117">
        <v>44915</v>
      </c>
      <c r="U124" s="117"/>
      <c r="V124" s="118">
        <v>8000000</v>
      </c>
      <c r="W124" s="118"/>
      <c r="X124" s="118" t="s">
        <v>1154</v>
      </c>
      <c r="Y124" s="118">
        <f>+C124</f>
        <v>8000000</v>
      </c>
      <c r="Z124" s="118" t="s">
        <v>70</v>
      </c>
      <c r="AA124" s="118"/>
      <c r="AB124" s="119" t="s">
        <v>291</v>
      </c>
      <c r="AC124" s="120">
        <v>44915</v>
      </c>
      <c r="AD124" s="121">
        <v>811036279</v>
      </c>
      <c r="AE124" s="122" t="s">
        <v>1284</v>
      </c>
      <c r="AF124" s="126"/>
      <c r="AG124" s="114"/>
      <c r="AH124" s="21" t="s">
        <v>116</v>
      </c>
      <c r="AI124" s="21"/>
      <c r="AJ124" s="21"/>
      <c r="AK124" s="118">
        <v>8000000</v>
      </c>
      <c r="AL124" s="118">
        <v>0</v>
      </c>
      <c r="AM124" s="123"/>
      <c r="AN124" s="123"/>
      <c r="AO124" s="123"/>
      <c r="AP124" s="123"/>
      <c r="AQ124" s="123"/>
      <c r="AR124" s="123"/>
      <c r="AS124" s="123"/>
      <c r="AT124" s="123"/>
      <c r="AU124" s="123"/>
      <c r="AV124" s="123"/>
      <c r="AW124" s="124">
        <f t="shared" si="27"/>
        <v>8000000</v>
      </c>
      <c r="AX124" s="124">
        <v>0</v>
      </c>
      <c r="AY124" s="124">
        <f>IF(AK124="","",ROUND(AL124*40%,2))</f>
        <v>0</v>
      </c>
      <c r="AZ124" s="124">
        <f>IF(AK124="","",ROUND(AL124*10%,2))</f>
        <v>0</v>
      </c>
      <c r="BA124" s="21"/>
      <c r="BB124" s="21"/>
      <c r="BC124" s="21"/>
      <c r="BD124" s="21"/>
      <c r="BE124" s="21"/>
      <c r="BF124" s="21"/>
      <c r="BG124" s="21"/>
      <c r="BH124" s="21"/>
      <c r="BI124" s="21"/>
      <c r="BJ124" s="21"/>
    </row>
    <row r="125" spans="1:62" ht="14" x14ac:dyDescent="0.15">
      <c r="A125" s="17">
        <v>121</v>
      </c>
      <c r="B125" s="16" t="s">
        <v>660</v>
      </c>
      <c r="C125" s="15">
        <v>2879211021</v>
      </c>
      <c r="D125" s="112">
        <v>44922</v>
      </c>
      <c r="E125" s="21" t="s">
        <v>573</v>
      </c>
      <c r="F125" s="15">
        <f t="shared" si="23"/>
        <v>2879211021</v>
      </c>
      <c r="G125" s="21" t="s">
        <v>62</v>
      </c>
      <c r="H125" s="15">
        <f t="shared" si="28"/>
        <v>0</v>
      </c>
      <c r="I125" s="21" t="s">
        <v>661</v>
      </c>
      <c r="J125" s="21" t="s">
        <v>141</v>
      </c>
      <c r="K125" s="21" t="s">
        <v>662</v>
      </c>
      <c r="L125" s="112">
        <v>44922</v>
      </c>
      <c r="M125" s="127">
        <v>9822</v>
      </c>
      <c r="N125" s="114">
        <v>44567</v>
      </c>
      <c r="O125" s="122" t="s">
        <v>66</v>
      </c>
      <c r="P125" s="115" t="s">
        <v>767</v>
      </c>
      <c r="Q125" s="122" t="s">
        <v>663</v>
      </c>
      <c r="R125" s="116" t="s">
        <v>664</v>
      </c>
      <c r="S125" s="115" t="s">
        <v>576</v>
      </c>
      <c r="T125" s="120">
        <v>44923</v>
      </c>
      <c r="U125" s="117"/>
      <c r="V125" s="118">
        <v>2879211021</v>
      </c>
      <c r="W125" s="118">
        <f>+C125</f>
        <v>2879211021</v>
      </c>
      <c r="X125" s="118" t="s">
        <v>1154</v>
      </c>
      <c r="Y125" s="118"/>
      <c r="Z125" s="118" t="s">
        <v>79</v>
      </c>
      <c r="AA125" s="118">
        <v>0</v>
      </c>
      <c r="AB125" s="116" t="s">
        <v>664</v>
      </c>
      <c r="AC125" s="120">
        <v>44923</v>
      </c>
      <c r="AD125" s="121">
        <v>800099132</v>
      </c>
      <c r="AE125" s="122" t="s">
        <v>1330</v>
      </c>
      <c r="AF125" s="126">
        <v>44952</v>
      </c>
      <c r="AG125" s="114">
        <v>45256</v>
      </c>
      <c r="AH125" s="21" t="s">
        <v>665</v>
      </c>
      <c r="AI125" s="21"/>
      <c r="AJ125" s="21"/>
      <c r="AK125" s="118"/>
      <c r="AL125" s="118">
        <v>2879211021</v>
      </c>
      <c r="AM125" s="123"/>
      <c r="AN125" s="123"/>
      <c r="AO125" s="123"/>
      <c r="AP125" s="123"/>
      <c r="AQ125" s="123"/>
      <c r="AR125" s="123"/>
      <c r="AS125" s="123"/>
      <c r="AT125" s="123"/>
      <c r="AU125" s="123"/>
      <c r="AV125" s="123">
        <v>0</v>
      </c>
      <c r="AW125" s="124" t="str">
        <f t="shared" si="27"/>
        <v/>
      </c>
      <c r="AX125" s="124">
        <f>V125/2-0.5</f>
        <v>1439605510</v>
      </c>
      <c r="AY125" s="124" t="str">
        <f>IF(AK125="","",ROUND(AL125*40%,2))</f>
        <v/>
      </c>
      <c r="AZ125" s="124" t="str">
        <f>IF(AK125="","",ROUND(AL125*10%,2))</f>
        <v/>
      </c>
      <c r="BA125" s="21" t="s">
        <v>578</v>
      </c>
      <c r="BB125" s="21"/>
      <c r="BC125" s="21"/>
      <c r="BD125" s="21"/>
      <c r="BE125" s="21"/>
      <c r="BF125" s="21"/>
      <c r="BG125" s="21"/>
      <c r="BH125" s="21"/>
      <c r="BI125" s="21"/>
      <c r="BJ125" s="21"/>
    </row>
    <row r="126" spans="1:62" ht="14" x14ac:dyDescent="0.15">
      <c r="A126" s="17">
        <v>122</v>
      </c>
      <c r="B126" s="16" t="s">
        <v>666</v>
      </c>
      <c r="C126" s="15">
        <v>3758997574</v>
      </c>
      <c r="D126" s="112">
        <v>44949</v>
      </c>
      <c r="E126" s="21" t="s">
        <v>480</v>
      </c>
      <c r="F126" s="15">
        <f t="shared" si="23"/>
        <v>3758997574</v>
      </c>
      <c r="G126" s="21" t="s">
        <v>62</v>
      </c>
      <c r="H126" s="15">
        <f t="shared" si="28"/>
        <v>0</v>
      </c>
      <c r="I126" s="21" t="s">
        <v>489</v>
      </c>
      <c r="J126" s="21" t="s">
        <v>489</v>
      </c>
      <c r="K126" s="21" t="s">
        <v>618</v>
      </c>
      <c r="L126" s="112">
        <v>44946</v>
      </c>
      <c r="M126" s="135">
        <v>10822</v>
      </c>
      <c r="N126" s="114">
        <v>44567</v>
      </c>
      <c r="O126" s="122" t="s">
        <v>66</v>
      </c>
      <c r="P126" s="115" t="s">
        <v>767</v>
      </c>
      <c r="Q126" s="122" t="s">
        <v>112</v>
      </c>
      <c r="R126" s="116" t="s">
        <v>667</v>
      </c>
      <c r="S126" s="115" t="s">
        <v>69</v>
      </c>
      <c r="T126" s="117">
        <v>45119</v>
      </c>
      <c r="U126" s="117"/>
      <c r="V126" s="118">
        <v>3641165131</v>
      </c>
      <c r="W126" s="118">
        <f>+V126</f>
        <v>3641165131</v>
      </c>
      <c r="X126" s="118" t="s">
        <v>1352</v>
      </c>
      <c r="Y126" s="118"/>
      <c r="Z126" s="118" t="s">
        <v>70</v>
      </c>
      <c r="AA126" s="118"/>
      <c r="AB126" s="119" t="s">
        <v>668</v>
      </c>
      <c r="AC126" s="120">
        <v>45119</v>
      </c>
      <c r="AD126" s="121">
        <v>901718288</v>
      </c>
      <c r="AE126" s="122" t="s">
        <v>1331</v>
      </c>
      <c r="AF126" s="126"/>
      <c r="AG126" s="114"/>
      <c r="AH126" s="21" t="s">
        <v>669</v>
      </c>
      <c r="AI126" s="21"/>
      <c r="AJ126" s="21"/>
      <c r="AK126" s="118">
        <v>170646000</v>
      </c>
      <c r="AL126" s="118">
        <f>IF(AK126="","",V126-AK126)</f>
        <v>3470519131</v>
      </c>
      <c r="AM126" s="136">
        <v>0.2964</v>
      </c>
      <c r="AN126" s="123">
        <v>0.02</v>
      </c>
      <c r="AO126" s="123">
        <v>0.05</v>
      </c>
      <c r="AP126" s="123">
        <v>0.19</v>
      </c>
      <c r="AQ126" s="123"/>
      <c r="AR126" s="123"/>
      <c r="AS126" s="123"/>
      <c r="AT126" s="123"/>
      <c r="AU126" s="123"/>
      <c r="AV126" s="123">
        <v>0.1</v>
      </c>
      <c r="AW126" s="124">
        <f t="shared" si="27"/>
        <v>170646000</v>
      </c>
      <c r="AX126" s="124">
        <f>IF(AK126="","",ROUND(AL126*0%,2))</f>
        <v>0</v>
      </c>
      <c r="AY126" s="124">
        <f>IF(AK126="","",ROUND(AL126*100%,2))</f>
        <v>3470519131</v>
      </c>
      <c r="AZ126" s="124">
        <f>IF(AK126="","",ROUND(AL126*0%,2))</f>
        <v>0</v>
      </c>
      <c r="BA126" s="21" t="s">
        <v>670</v>
      </c>
      <c r="BB126" s="21"/>
      <c r="BC126" s="21"/>
      <c r="BD126" s="21"/>
      <c r="BE126" s="21"/>
      <c r="BF126" s="21"/>
      <c r="BG126" s="21"/>
      <c r="BH126" s="21" t="s">
        <v>671</v>
      </c>
      <c r="BI126" s="21"/>
      <c r="BJ126" s="21"/>
    </row>
    <row r="127" spans="1:62" ht="14" x14ac:dyDescent="0.15">
      <c r="A127" s="17">
        <v>123</v>
      </c>
      <c r="B127" s="16" t="s">
        <v>672</v>
      </c>
      <c r="C127" s="15">
        <v>434360830</v>
      </c>
      <c r="D127" s="112">
        <v>44949</v>
      </c>
      <c r="E127" s="21" t="s">
        <v>85</v>
      </c>
      <c r="F127" s="15">
        <f t="shared" si="23"/>
        <v>434360830</v>
      </c>
      <c r="G127" s="21" t="s">
        <v>62</v>
      </c>
      <c r="H127" s="15">
        <f t="shared" si="28"/>
        <v>0</v>
      </c>
      <c r="I127" s="21" t="s">
        <v>489</v>
      </c>
      <c r="J127" s="21" t="s">
        <v>489</v>
      </c>
      <c r="K127" s="21" t="s">
        <v>618</v>
      </c>
      <c r="L127" s="112">
        <v>44946</v>
      </c>
      <c r="M127" s="135">
        <v>10822</v>
      </c>
      <c r="N127" s="114">
        <v>44567</v>
      </c>
      <c r="O127" s="122" t="s">
        <v>66</v>
      </c>
      <c r="P127" s="115" t="s">
        <v>767</v>
      </c>
      <c r="Q127" s="122" t="s">
        <v>112</v>
      </c>
      <c r="R127" s="116" t="s">
        <v>673</v>
      </c>
      <c r="S127" s="115" t="s">
        <v>69</v>
      </c>
      <c r="T127" s="117">
        <v>45114</v>
      </c>
      <c r="U127" s="117"/>
      <c r="V127" s="118">
        <v>390924747</v>
      </c>
      <c r="W127" s="118">
        <f>+V127</f>
        <v>390924747</v>
      </c>
      <c r="X127" s="118" t="s">
        <v>1352</v>
      </c>
      <c r="Y127" s="118"/>
      <c r="Z127" s="118" t="s">
        <v>70</v>
      </c>
      <c r="AA127" s="118"/>
      <c r="AB127" s="119" t="s">
        <v>674</v>
      </c>
      <c r="AC127" s="120">
        <v>45114</v>
      </c>
      <c r="AD127" s="121">
        <v>901721196</v>
      </c>
      <c r="AE127" s="122" t="s">
        <v>1332</v>
      </c>
      <c r="AF127" s="126">
        <v>45497</v>
      </c>
      <c r="AG127" s="114">
        <v>45223</v>
      </c>
      <c r="AH127" s="21" t="s">
        <v>675</v>
      </c>
      <c r="AI127" s="21"/>
      <c r="AJ127" s="21"/>
      <c r="AK127" s="118">
        <v>102431655</v>
      </c>
      <c r="AL127" s="118">
        <f>IF(AK127="","",V127-AK127)</f>
        <v>288493092</v>
      </c>
      <c r="AM127" s="123"/>
      <c r="AN127" s="123"/>
      <c r="AO127" s="123"/>
      <c r="AP127" s="123"/>
      <c r="AQ127" s="123"/>
      <c r="AR127" s="123"/>
      <c r="AS127" s="123"/>
      <c r="AT127" s="123"/>
      <c r="AU127" s="123"/>
      <c r="AV127" s="123">
        <v>0.1</v>
      </c>
      <c r="AW127" s="124">
        <f t="shared" si="27"/>
        <v>102431655</v>
      </c>
      <c r="AX127" s="124">
        <f>IF(AK127="","",ROUND(AL127/INT(LEFT(AH127,FIND("m",AH127)-1))*50%,0))</f>
        <v>18030818</v>
      </c>
      <c r="AY127" s="124">
        <f>IF(AK127="","",ROUND(AL127*40%,2))</f>
        <v>115397236.8</v>
      </c>
      <c r="AZ127" s="124">
        <f>IF(AK127="","",ROUND(AL127*10%,2))</f>
        <v>28849309.199999999</v>
      </c>
      <c r="BA127" s="21"/>
      <c r="BB127" s="21"/>
      <c r="BC127" s="21"/>
      <c r="BD127" s="21"/>
      <c r="BE127" s="21"/>
      <c r="BF127" s="21"/>
      <c r="BG127" s="21"/>
      <c r="BH127" s="21"/>
      <c r="BI127" s="21"/>
      <c r="BJ127" s="21"/>
    </row>
    <row r="128" spans="1:62" ht="14" x14ac:dyDescent="0.15">
      <c r="A128" s="17">
        <v>124</v>
      </c>
      <c r="B128" s="16" t="s">
        <v>676</v>
      </c>
      <c r="C128" s="15">
        <v>39067694</v>
      </c>
      <c r="D128" s="112">
        <v>44957</v>
      </c>
      <c r="E128" s="21" t="s">
        <v>61</v>
      </c>
      <c r="F128" s="15">
        <f t="shared" si="23"/>
        <v>39067694</v>
      </c>
      <c r="G128" s="21" t="s">
        <v>62</v>
      </c>
      <c r="H128" s="15">
        <f t="shared" si="28"/>
        <v>0</v>
      </c>
      <c r="I128" s="21" t="s">
        <v>301</v>
      </c>
      <c r="J128" s="21" t="s">
        <v>130</v>
      </c>
      <c r="K128" s="21" t="s">
        <v>677</v>
      </c>
      <c r="L128" s="112">
        <v>44956</v>
      </c>
      <c r="M128" s="127">
        <v>188121</v>
      </c>
      <c r="N128" s="114">
        <v>44550</v>
      </c>
      <c r="O128" s="122" t="s">
        <v>66</v>
      </c>
      <c r="P128" s="115" t="s">
        <v>767</v>
      </c>
      <c r="Q128" s="122" t="s">
        <v>112</v>
      </c>
      <c r="R128" s="116" t="s">
        <v>302</v>
      </c>
      <c r="S128" s="115" t="s">
        <v>69</v>
      </c>
      <c r="T128" s="117">
        <v>44957</v>
      </c>
      <c r="U128" s="117"/>
      <c r="V128" s="118">
        <v>39067694</v>
      </c>
      <c r="W128" s="118"/>
      <c r="X128" s="118" t="s">
        <v>1154</v>
      </c>
      <c r="Y128" s="118">
        <f>+V128</f>
        <v>39067694</v>
      </c>
      <c r="Z128" s="118" t="s">
        <v>70</v>
      </c>
      <c r="AA128" s="118"/>
      <c r="AB128" s="119" t="s">
        <v>303</v>
      </c>
      <c r="AC128" s="120"/>
      <c r="AD128" s="121">
        <v>901581425</v>
      </c>
      <c r="AE128" s="122" t="s">
        <v>1286</v>
      </c>
      <c r="AF128" s="126"/>
      <c r="AG128" s="114">
        <v>45089</v>
      </c>
      <c r="AH128" s="21" t="s">
        <v>678</v>
      </c>
      <c r="AI128" s="21"/>
      <c r="AJ128" s="21"/>
      <c r="AK128" s="118">
        <v>0</v>
      </c>
      <c r="AL128" s="118">
        <v>39067694</v>
      </c>
      <c r="AM128" s="123"/>
      <c r="AN128" s="123"/>
      <c r="AO128" s="123"/>
      <c r="AP128" s="123"/>
      <c r="AQ128" s="123"/>
      <c r="AR128" s="123"/>
      <c r="AS128" s="123"/>
      <c r="AT128" s="123"/>
      <c r="AU128" s="123"/>
      <c r="AV128" s="123"/>
      <c r="AW128" s="124"/>
      <c r="AX128" s="124">
        <f>IF(AK128="","",ROUND(AL128/INT(LEFT(AH128,FIND("m",AH128)-1))*50%,0))</f>
        <v>9766924</v>
      </c>
      <c r="AY128" s="124">
        <f>IF(AK128="","",ROUND(AL128*40%,2))</f>
        <v>15627077.6</v>
      </c>
      <c r="AZ128" s="124">
        <f>IF(AK128="","",ROUND(AL128*10%,2))</f>
        <v>3906769.4</v>
      </c>
      <c r="BA128" s="21"/>
      <c r="BB128" s="21"/>
      <c r="BC128" s="21"/>
      <c r="BD128" s="21"/>
      <c r="BE128" s="21"/>
      <c r="BF128" s="21"/>
      <c r="BG128" s="21"/>
      <c r="BH128" s="21"/>
      <c r="BI128" s="21"/>
      <c r="BJ128" s="21"/>
    </row>
    <row r="129" spans="1:62" ht="14" x14ac:dyDescent="0.15">
      <c r="A129" s="17">
        <v>125</v>
      </c>
      <c r="B129" s="16" t="s">
        <v>679</v>
      </c>
      <c r="C129" s="15">
        <v>24368158</v>
      </c>
      <c r="D129" s="112">
        <v>44957</v>
      </c>
      <c r="E129" s="21" t="s">
        <v>61</v>
      </c>
      <c r="F129" s="15">
        <f t="shared" si="23"/>
        <v>24368158</v>
      </c>
      <c r="G129" s="21" t="s">
        <v>62</v>
      </c>
      <c r="H129" s="15">
        <f t="shared" si="28"/>
        <v>0</v>
      </c>
      <c r="I129" s="21" t="s">
        <v>154</v>
      </c>
      <c r="J129" s="21" t="s">
        <v>141</v>
      </c>
      <c r="K129" s="21" t="s">
        <v>680</v>
      </c>
      <c r="L129" s="112">
        <v>44956</v>
      </c>
      <c r="M129" s="127">
        <v>188121</v>
      </c>
      <c r="N129" s="114">
        <v>44550</v>
      </c>
      <c r="O129" s="122" t="s">
        <v>66</v>
      </c>
      <c r="P129" s="115" t="s">
        <v>767</v>
      </c>
      <c r="Q129" s="122" t="s">
        <v>112</v>
      </c>
      <c r="R129" s="116" t="s">
        <v>155</v>
      </c>
      <c r="S129" s="115" t="s">
        <v>69</v>
      </c>
      <c r="T129" s="117">
        <v>45100</v>
      </c>
      <c r="U129" s="117"/>
      <c r="V129" s="118">
        <v>24368158</v>
      </c>
      <c r="W129" s="118"/>
      <c r="X129" s="118" t="s">
        <v>1154</v>
      </c>
      <c r="Y129" s="118">
        <f t="shared" ref="Y129:Y136" si="29">+V129</f>
        <v>24368158</v>
      </c>
      <c r="Z129" s="125" t="s">
        <v>70</v>
      </c>
      <c r="AA129" s="118"/>
      <c r="AB129" s="119" t="s">
        <v>156</v>
      </c>
      <c r="AC129" s="120">
        <v>45100</v>
      </c>
      <c r="AD129" s="121">
        <v>901579530</v>
      </c>
      <c r="AE129" s="122" t="s">
        <v>1269</v>
      </c>
      <c r="AF129" s="126"/>
      <c r="AG129" s="114">
        <v>45100</v>
      </c>
      <c r="AH129" s="21" t="s">
        <v>326</v>
      </c>
      <c r="AI129" s="21"/>
      <c r="AJ129" s="21"/>
      <c r="AK129" s="118">
        <v>0</v>
      </c>
      <c r="AL129" s="118">
        <v>24368158</v>
      </c>
      <c r="AM129" s="123"/>
      <c r="AN129" s="123"/>
      <c r="AO129" s="123"/>
      <c r="AP129" s="123"/>
      <c r="AQ129" s="123"/>
      <c r="AR129" s="123"/>
      <c r="AS129" s="123"/>
      <c r="AT129" s="123"/>
      <c r="AU129" s="123"/>
      <c r="AV129" s="123"/>
      <c r="AW129" s="124"/>
      <c r="AX129" s="124">
        <f>IF(AK129="","",ROUND(AL129/INT(LEFT(AH129,FIND("m",AH129)-1))*50%,0))</f>
        <v>12184079</v>
      </c>
      <c r="AY129" s="124">
        <f>IF(AK129="","",ROUND(AL129*40%,2))</f>
        <v>9747263.1999999993</v>
      </c>
      <c r="AZ129" s="124">
        <f>IF(AK129="","",ROUND(AL129*10%,2))</f>
        <v>2436815.7999999998</v>
      </c>
      <c r="BA129" s="21"/>
      <c r="BB129" s="21"/>
      <c r="BC129" s="21"/>
      <c r="BD129" s="21"/>
      <c r="BE129" s="21"/>
      <c r="BF129" s="21"/>
      <c r="BG129" s="21"/>
      <c r="BH129" s="21"/>
      <c r="BI129" s="21"/>
      <c r="BJ129" s="21"/>
    </row>
    <row r="130" spans="1:62" ht="14" x14ac:dyDescent="0.15">
      <c r="A130" s="17">
        <v>126</v>
      </c>
      <c r="B130" s="16" t="s">
        <v>681</v>
      </c>
      <c r="C130" s="15">
        <v>18763325</v>
      </c>
      <c r="D130" s="112">
        <v>44957</v>
      </c>
      <c r="E130" s="21" t="s">
        <v>61</v>
      </c>
      <c r="F130" s="15">
        <f t="shared" si="23"/>
        <v>18763325</v>
      </c>
      <c r="G130" s="21" t="s">
        <v>62</v>
      </c>
      <c r="H130" s="15">
        <f t="shared" si="28"/>
        <v>0</v>
      </c>
      <c r="I130" s="21" t="s">
        <v>198</v>
      </c>
      <c r="J130" s="21" t="s">
        <v>199</v>
      </c>
      <c r="K130" s="21" t="s">
        <v>682</v>
      </c>
      <c r="L130" s="112">
        <v>44956</v>
      </c>
      <c r="M130" s="127">
        <v>188121</v>
      </c>
      <c r="N130" s="114">
        <v>44550</v>
      </c>
      <c r="O130" s="122" t="s">
        <v>66</v>
      </c>
      <c r="P130" s="115" t="s">
        <v>767</v>
      </c>
      <c r="Q130" s="122" t="s">
        <v>112</v>
      </c>
      <c r="R130" s="116" t="s">
        <v>200</v>
      </c>
      <c r="S130" s="115" t="s">
        <v>69</v>
      </c>
      <c r="T130" s="117">
        <v>44957</v>
      </c>
      <c r="U130" s="117"/>
      <c r="V130" s="118">
        <v>18763325</v>
      </c>
      <c r="W130" s="118"/>
      <c r="X130" s="118" t="s">
        <v>1154</v>
      </c>
      <c r="Y130" s="118">
        <f t="shared" si="29"/>
        <v>18763325</v>
      </c>
      <c r="Z130" s="125" t="s">
        <v>79</v>
      </c>
      <c r="AA130" s="118">
        <v>0</v>
      </c>
      <c r="AB130" s="119" t="s">
        <v>201</v>
      </c>
      <c r="AC130" s="120">
        <v>44957</v>
      </c>
      <c r="AD130" s="121">
        <v>900457115</v>
      </c>
      <c r="AE130" s="122" t="s">
        <v>1275</v>
      </c>
      <c r="AF130" s="126"/>
      <c r="AG130" s="114">
        <v>45084</v>
      </c>
      <c r="AH130" s="21" t="s">
        <v>683</v>
      </c>
      <c r="AI130" s="21"/>
      <c r="AJ130" s="21"/>
      <c r="AK130" s="118">
        <v>0</v>
      </c>
      <c r="AL130" s="118">
        <f>IF(AK130="","",V130-AK130)</f>
        <v>18763325</v>
      </c>
      <c r="AM130" s="123"/>
      <c r="AN130" s="123"/>
      <c r="AO130" s="123"/>
      <c r="AP130" s="123"/>
      <c r="AQ130" s="123"/>
      <c r="AR130" s="123"/>
      <c r="AS130" s="123"/>
      <c r="AT130" s="123"/>
      <c r="AU130" s="123"/>
      <c r="AV130" s="123"/>
      <c r="AW130" s="124">
        <f>IF(AK130="","",AK130)</f>
        <v>0</v>
      </c>
      <c r="AX130" s="124">
        <f>+AL130*90%/2</f>
        <v>8443496.25</v>
      </c>
      <c r="AY130" s="124"/>
      <c r="AZ130" s="124">
        <f>IF(AK130="","",ROUND(AL130*10%,2))</f>
        <v>1876332.5</v>
      </c>
      <c r="BA130" s="21" t="s">
        <v>83</v>
      </c>
      <c r="BB130" s="21"/>
      <c r="BC130" s="21"/>
      <c r="BD130" s="21"/>
      <c r="BE130" s="21"/>
      <c r="BF130" s="21"/>
      <c r="BG130" s="21"/>
      <c r="BH130" s="21"/>
      <c r="BI130" s="21"/>
      <c r="BJ130" s="21"/>
    </row>
    <row r="131" spans="1:62" ht="14" x14ac:dyDescent="0.15">
      <c r="A131" s="17">
        <v>127</v>
      </c>
      <c r="B131" s="16" t="s">
        <v>684</v>
      </c>
      <c r="C131" s="15">
        <v>22973526</v>
      </c>
      <c r="D131" s="112">
        <v>44964</v>
      </c>
      <c r="E131" s="21" t="s">
        <v>61</v>
      </c>
      <c r="F131" s="15">
        <f t="shared" si="23"/>
        <v>22973526</v>
      </c>
      <c r="G131" s="21" t="s">
        <v>62</v>
      </c>
      <c r="H131" s="15">
        <f t="shared" si="28"/>
        <v>0</v>
      </c>
      <c r="I131" s="21" t="s">
        <v>359</v>
      </c>
      <c r="J131" s="21" t="s">
        <v>64</v>
      </c>
      <c r="K131" s="21" t="s">
        <v>685</v>
      </c>
      <c r="L131" s="112">
        <v>44963</v>
      </c>
      <c r="M131" s="127">
        <v>188121</v>
      </c>
      <c r="N131" s="114">
        <v>44550</v>
      </c>
      <c r="O131" s="122" t="s">
        <v>66</v>
      </c>
      <c r="P131" s="115" t="s">
        <v>767</v>
      </c>
      <c r="Q131" s="122" t="s">
        <v>112</v>
      </c>
      <c r="R131" s="116" t="s">
        <v>360</v>
      </c>
      <c r="S131" s="115" t="s">
        <v>69</v>
      </c>
      <c r="T131" s="117">
        <v>44964</v>
      </c>
      <c r="U131" s="117"/>
      <c r="V131" s="118">
        <f>F131</f>
        <v>22973526</v>
      </c>
      <c r="W131" s="118"/>
      <c r="X131" s="118" t="s">
        <v>1154</v>
      </c>
      <c r="Y131" s="118">
        <f t="shared" si="29"/>
        <v>22973526</v>
      </c>
      <c r="Z131" s="118" t="s">
        <v>79</v>
      </c>
      <c r="AA131" s="118">
        <v>0</v>
      </c>
      <c r="AB131" s="119" t="s">
        <v>361</v>
      </c>
      <c r="AC131" s="120">
        <v>44964</v>
      </c>
      <c r="AD131" s="121">
        <v>901583113</v>
      </c>
      <c r="AE131" s="122" t="s">
        <v>1293</v>
      </c>
      <c r="AF131" s="126"/>
      <c r="AG131" s="114">
        <v>45045</v>
      </c>
      <c r="AH131" s="21" t="s">
        <v>186</v>
      </c>
      <c r="AI131" s="21"/>
      <c r="AJ131" s="21"/>
      <c r="AK131" s="118">
        <v>0</v>
      </c>
      <c r="AL131" s="118">
        <f>+V131</f>
        <v>22973526</v>
      </c>
      <c r="AM131" s="123"/>
      <c r="AN131" s="123"/>
      <c r="AO131" s="123"/>
      <c r="AP131" s="123"/>
      <c r="AQ131" s="123"/>
      <c r="AR131" s="123"/>
      <c r="AS131" s="123"/>
      <c r="AT131" s="123"/>
      <c r="AU131" s="123"/>
      <c r="AV131" s="123"/>
      <c r="AW131" s="124"/>
      <c r="AX131" s="124">
        <f>+AL131</f>
        <v>22973526</v>
      </c>
      <c r="AY131" s="124">
        <v>0</v>
      </c>
      <c r="AZ131" s="124">
        <v>0</v>
      </c>
      <c r="BA131" s="21"/>
      <c r="BB131" s="21"/>
      <c r="BC131" s="21"/>
      <c r="BD131" s="21"/>
      <c r="BE131" s="21"/>
      <c r="BF131" s="21"/>
      <c r="BG131" s="21"/>
      <c r="BH131" s="21"/>
      <c r="BI131" s="21"/>
      <c r="BJ131" s="21"/>
    </row>
    <row r="132" spans="1:62" ht="14" x14ac:dyDescent="0.15">
      <c r="A132" s="17">
        <v>128</v>
      </c>
      <c r="B132" s="16" t="s">
        <v>686</v>
      </c>
      <c r="C132" s="15">
        <v>97732580</v>
      </c>
      <c r="D132" s="112">
        <v>44970</v>
      </c>
      <c r="E132" s="21" t="s">
        <v>61</v>
      </c>
      <c r="F132" s="15">
        <f t="shared" si="23"/>
        <v>97732580</v>
      </c>
      <c r="G132" s="21" t="s">
        <v>62</v>
      </c>
      <c r="H132" s="15">
        <f t="shared" si="28"/>
        <v>0</v>
      </c>
      <c r="I132" s="21" t="s">
        <v>211</v>
      </c>
      <c r="J132" s="21" t="s">
        <v>141</v>
      </c>
      <c r="K132" s="21" t="s">
        <v>687</v>
      </c>
      <c r="L132" s="112">
        <v>44970</v>
      </c>
      <c r="M132" s="127">
        <v>188121</v>
      </c>
      <c r="N132" s="114">
        <v>44550</v>
      </c>
      <c r="O132" s="122" t="s">
        <v>66</v>
      </c>
      <c r="P132" s="115" t="s">
        <v>767</v>
      </c>
      <c r="Q132" s="122" t="s">
        <v>112</v>
      </c>
      <c r="R132" s="116" t="s">
        <v>213</v>
      </c>
      <c r="S132" s="115" t="s">
        <v>69</v>
      </c>
      <c r="T132" s="117">
        <v>44972</v>
      </c>
      <c r="U132" s="117"/>
      <c r="V132" s="15">
        <v>97732580</v>
      </c>
      <c r="W132" s="15"/>
      <c r="X132" s="118" t="s">
        <v>1154</v>
      </c>
      <c r="Y132" s="118">
        <f t="shared" si="29"/>
        <v>97732580</v>
      </c>
      <c r="Z132" s="125" t="s">
        <v>79</v>
      </c>
      <c r="AA132" s="15">
        <v>0</v>
      </c>
      <c r="AB132" s="119" t="s">
        <v>214</v>
      </c>
      <c r="AC132" s="120">
        <v>44972</v>
      </c>
      <c r="AD132" s="121">
        <v>87069865</v>
      </c>
      <c r="AE132" s="122" t="s">
        <v>1268</v>
      </c>
      <c r="AF132" s="126"/>
      <c r="AG132" s="114">
        <v>45175</v>
      </c>
      <c r="AH132" s="21" t="s">
        <v>367</v>
      </c>
      <c r="AI132" s="21" t="s">
        <v>688</v>
      </c>
      <c r="AJ132" s="21"/>
      <c r="AK132" s="118">
        <v>0</v>
      </c>
      <c r="AL132" s="15">
        <v>97732580</v>
      </c>
      <c r="AM132" s="123"/>
      <c r="AN132" s="123"/>
      <c r="AO132" s="123"/>
      <c r="AP132" s="123"/>
      <c r="AQ132" s="123"/>
      <c r="AR132" s="123"/>
      <c r="AS132" s="123"/>
      <c r="AT132" s="123"/>
      <c r="AU132" s="123"/>
      <c r="AV132" s="123"/>
      <c r="AW132" s="124"/>
      <c r="AX132" s="124">
        <f>IF(AK132="","",ROUND(AL132/2.5*50%,0))</f>
        <v>19546516</v>
      </c>
      <c r="AY132" s="124">
        <f>IF(AK132="","",ROUND(AL132*40%,2))</f>
        <v>39093032</v>
      </c>
      <c r="AZ132" s="124">
        <f>IF(AK132="","",ROUND(AL132*10%,2))</f>
        <v>9773258</v>
      </c>
      <c r="BA132" s="21" t="s">
        <v>165</v>
      </c>
      <c r="BB132" s="21"/>
      <c r="BC132" s="21"/>
      <c r="BD132" s="21"/>
      <c r="BE132" s="21"/>
      <c r="BF132" s="21"/>
      <c r="BG132" s="21"/>
      <c r="BH132" s="21"/>
      <c r="BI132" s="21"/>
      <c r="BJ132" s="21"/>
    </row>
    <row r="133" spans="1:62" ht="14" x14ac:dyDescent="0.15">
      <c r="A133" s="17">
        <v>129</v>
      </c>
      <c r="B133" s="16" t="s">
        <v>689</v>
      </c>
      <c r="C133" s="15">
        <v>15547410</v>
      </c>
      <c r="D133" s="112">
        <v>44970</v>
      </c>
      <c r="E133" s="21" t="s">
        <v>61</v>
      </c>
      <c r="F133" s="15">
        <f t="shared" si="23"/>
        <v>15547410</v>
      </c>
      <c r="G133" s="21" t="s">
        <v>62</v>
      </c>
      <c r="H133" s="15">
        <f t="shared" si="28"/>
        <v>0</v>
      </c>
      <c r="I133" s="21" t="s">
        <v>167</v>
      </c>
      <c r="J133" s="21" t="s">
        <v>102</v>
      </c>
      <c r="K133" s="21" t="s">
        <v>690</v>
      </c>
      <c r="L133" s="112">
        <v>44970</v>
      </c>
      <c r="M133" s="127">
        <v>188121</v>
      </c>
      <c r="N133" s="114">
        <v>44550</v>
      </c>
      <c r="O133" s="122" t="s">
        <v>66</v>
      </c>
      <c r="P133" s="115" t="s">
        <v>767</v>
      </c>
      <c r="Q133" s="122" t="s">
        <v>112</v>
      </c>
      <c r="R133" s="116" t="s">
        <v>168</v>
      </c>
      <c r="S133" s="115" t="s">
        <v>69</v>
      </c>
      <c r="T133" s="117"/>
      <c r="U133" s="117"/>
      <c r="V133" s="118">
        <v>15547410</v>
      </c>
      <c r="W133" s="118"/>
      <c r="X133" s="118" t="s">
        <v>1154</v>
      </c>
      <c r="Y133" s="118">
        <f t="shared" si="29"/>
        <v>15547410</v>
      </c>
      <c r="Z133" s="118" t="s">
        <v>79</v>
      </c>
      <c r="AA133" s="118">
        <v>0</v>
      </c>
      <c r="AB133" s="119" t="s">
        <v>169</v>
      </c>
      <c r="AC133" s="120"/>
      <c r="AD133" s="121">
        <v>890115120</v>
      </c>
      <c r="AE133" s="122" t="s">
        <v>1271</v>
      </c>
      <c r="AF133" s="126"/>
      <c r="AG133" s="114">
        <v>45033</v>
      </c>
      <c r="AH133" s="21" t="s">
        <v>326</v>
      </c>
      <c r="AI133" s="21" t="s">
        <v>691</v>
      </c>
      <c r="AJ133" s="21"/>
      <c r="AK133" s="118">
        <v>0</v>
      </c>
      <c r="AL133" s="118">
        <v>15547410</v>
      </c>
      <c r="AM133" s="123"/>
      <c r="AN133" s="123"/>
      <c r="AO133" s="123"/>
      <c r="AP133" s="123"/>
      <c r="AQ133" s="123"/>
      <c r="AR133" s="123"/>
      <c r="AS133" s="123"/>
      <c r="AT133" s="123"/>
      <c r="AU133" s="123"/>
      <c r="AV133" s="123"/>
      <c r="AW133" s="124"/>
      <c r="AX133" s="124">
        <f>AL133*0.9</f>
        <v>13992669</v>
      </c>
      <c r="AY133" s="124"/>
      <c r="AZ133" s="124">
        <f>IF(AK133="","",ROUND(AL133*10%,2))</f>
        <v>1554741</v>
      </c>
      <c r="BA133" s="21"/>
      <c r="BB133" s="21"/>
      <c r="BC133" s="21"/>
      <c r="BD133" s="21"/>
      <c r="BE133" s="21"/>
      <c r="BF133" s="21"/>
      <c r="BG133" s="21"/>
      <c r="BH133" s="21"/>
      <c r="BI133" s="21"/>
      <c r="BJ133" s="21"/>
    </row>
    <row r="134" spans="1:62" ht="14" x14ac:dyDescent="0.15">
      <c r="A134" s="17">
        <v>130</v>
      </c>
      <c r="B134" s="16" t="s">
        <v>692</v>
      </c>
      <c r="C134" s="15">
        <v>18313968</v>
      </c>
      <c r="D134" s="112">
        <v>44970</v>
      </c>
      <c r="E134" s="21" t="s">
        <v>61</v>
      </c>
      <c r="F134" s="15">
        <f t="shared" si="23"/>
        <v>18313968</v>
      </c>
      <c r="G134" s="21" t="s">
        <v>62</v>
      </c>
      <c r="H134" s="15">
        <f t="shared" si="28"/>
        <v>0</v>
      </c>
      <c r="I134" s="21" t="s">
        <v>192</v>
      </c>
      <c r="J134" s="21" t="s">
        <v>176</v>
      </c>
      <c r="K134" s="21" t="s">
        <v>693</v>
      </c>
      <c r="L134" s="112">
        <v>44970</v>
      </c>
      <c r="M134" s="127">
        <v>188121</v>
      </c>
      <c r="N134" s="114">
        <v>44550</v>
      </c>
      <c r="O134" s="122" t="s">
        <v>66</v>
      </c>
      <c r="P134" s="115" t="s">
        <v>767</v>
      </c>
      <c r="Q134" s="122" t="s">
        <v>112</v>
      </c>
      <c r="R134" s="116" t="s">
        <v>194</v>
      </c>
      <c r="S134" s="115" t="s">
        <v>69</v>
      </c>
      <c r="T134" s="117">
        <v>44972</v>
      </c>
      <c r="U134" s="117"/>
      <c r="V134" s="118">
        <v>18313968</v>
      </c>
      <c r="W134" s="118"/>
      <c r="X134" s="118" t="s">
        <v>1154</v>
      </c>
      <c r="Y134" s="118">
        <f t="shared" si="29"/>
        <v>18313968</v>
      </c>
      <c r="Z134" s="125" t="s">
        <v>79</v>
      </c>
      <c r="AA134" s="118"/>
      <c r="AB134" s="119" t="s">
        <v>195</v>
      </c>
      <c r="AC134" s="120">
        <v>44972</v>
      </c>
      <c r="AD134" s="121">
        <v>901575654</v>
      </c>
      <c r="AE134" s="122" t="s">
        <v>1274</v>
      </c>
      <c r="AF134" s="126"/>
      <c r="AG134" s="114">
        <v>45156</v>
      </c>
      <c r="AH134" s="21" t="s">
        <v>425</v>
      </c>
      <c r="AI134" s="21"/>
      <c r="AJ134" s="21"/>
      <c r="AK134" s="118">
        <v>0</v>
      </c>
      <c r="AL134" s="118">
        <v>18313968</v>
      </c>
      <c r="AM134" s="123"/>
      <c r="AN134" s="123"/>
      <c r="AO134" s="123"/>
      <c r="AP134" s="123"/>
      <c r="AQ134" s="123"/>
      <c r="AR134" s="123"/>
      <c r="AS134" s="123"/>
      <c r="AT134" s="123"/>
      <c r="AU134" s="123"/>
      <c r="AV134" s="123"/>
      <c r="AW134" s="124"/>
      <c r="AX134" s="124">
        <f>IF(AK134="","",ROUND(AL134*90%,0))</f>
        <v>16482571</v>
      </c>
      <c r="AY134" s="124"/>
      <c r="AZ134" s="124">
        <f>IF(AK134="","",ROUND(AL134*10%,2))</f>
        <v>1831396.8</v>
      </c>
      <c r="BA134" s="21"/>
      <c r="BB134" s="21"/>
      <c r="BC134" s="21"/>
      <c r="BD134" s="21"/>
      <c r="BE134" s="21"/>
      <c r="BF134" s="21"/>
      <c r="BG134" s="21"/>
      <c r="BH134" s="21"/>
      <c r="BI134" s="21"/>
      <c r="BJ134" s="21"/>
    </row>
    <row r="135" spans="1:62" ht="14" x14ac:dyDescent="0.15">
      <c r="A135" s="17">
        <v>131</v>
      </c>
      <c r="B135" s="16" t="s">
        <v>694</v>
      </c>
      <c r="C135" s="15">
        <v>9944856</v>
      </c>
      <c r="D135" s="112">
        <v>44981</v>
      </c>
      <c r="E135" s="21" t="s">
        <v>85</v>
      </c>
      <c r="F135" s="15">
        <f t="shared" si="23"/>
        <v>9944856</v>
      </c>
      <c r="G135" s="21" t="s">
        <v>62</v>
      </c>
      <c r="H135" s="15">
        <f t="shared" si="28"/>
        <v>0</v>
      </c>
      <c r="I135" s="21" t="s">
        <v>489</v>
      </c>
      <c r="J135" s="21" t="s">
        <v>489</v>
      </c>
      <c r="K135" s="21" t="s">
        <v>695</v>
      </c>
      <c r="L135" s="112">
        <v>44980</v>
      </c>
      <c r="M135" s="127">
        <v>9822</v>
      </c>
      <c r="N135" s="114">
        <v>44567</v>
      </c>
      <c r="O135" s="122" t="s">
        <v>66</v>
      </c>
      <c r="P135" s="115" t="s">
        <v>767</v>
      </c>
      <c r="Q135" s="122" t="s">
        <v>696</v>
      </c>
      <c r="R135" s="116" t="s">
        <v>527</v>
      </c>
      <c r="S135" s="115" t="s">
        <v>69</v>
      </c>
      <c r="T135" s="117"/>
      <c r="U135" s="117"/>
      <c r="V135" s="118">
        <v>9944856</v>
      </c>
      <c r="W135" s="118"/>
      <c r="X135" s="118" t="s">
        <v>1154</v>
      </c>
      <c r="Y135" s="118">
        <f t="shared" si="29"/>
        <v>9944856</v>
      </c>
      <c r="Z135" s="125" t="s">
        <v>79</v>
      </c>
      <c r="AA135" s="118">
        <v>0</v>
      </c>
      <c r="AB135" s="119" t="s">
        <v>528</v>
      </c>
      <c r="AC135" s="120"/>
      <c r="AD135" s="121">
        <v>901584450</v>
      </c>
      <c r="AE135" s="122" t="s">
        <v>1300</v>
      </c>
      <c r="AF135" s="126"/>
      <c r="AG135" s="114"/>
      <c r="AH135" s="21"/>
      <c r="AI135" s="21"/>
      <c r="AJ135" s="21"/>
      <c r="AK135" s="118"/>
      <c r="AL135" s="118">
        <v>9944856</v>
      </c>
      <c r="AM135" s="123"/>
      <c r="AN135" s="123"/>
      <c r="AO135" s="123"/>
      <c r="AP135" s="123"/>
      <c r="AQ135" s="123"/>
      <c r="AR135" s="123"/>
      <c r="AS135" s="123"/>
      <c r="AT135" s="123"/>
      <c r="AU135" s="123"/>
      <c r="AV135" s="123"/>
      <c r="AW135" s="124"/>
      <c r="AX135" s="124">
        <f>+AL135/(41/30)</f>
        <v>7276723.9024390243</v>
      </c>
      <c r="AY135" s="124" t="str">
        <f>IF(AK135="","",ROUND(AL135*40%,2))</f>
        <v/>
      </c>
      <c r="AZ135" s="124" t="str">
        <f>IF(AK135="","",ROUND(AL135*10%,2))</f>
        <v/>
      </c>
      <c r="BA135" s="21"/>
      <c r="BB135" s="21"/>
      <c r="BC135" s="21"/>
      <c r="BD135" s="21"/>
      <c r="BE135" s="21"/>
      <c r="BF135" s="21"/>
      <c r="BG135" s="21"/>
      <c r="BH135" s="21"/>
      <c r="BI135" s="21"/>
      <c r="BJ135" s="21"/>
    </row>
    <row r="136" spans="1:62" ht="14" x14ac:dyDescent="0.15">
      <c r="A136" s="17">
        <v>132</v>
      </c>
      <c r="B136" s="16" t="s">
        <v>697</v>
      </c>
      <c r="C136" s="15">
        <v>118291725</v>
      </c>
      <c r="D136" s="112">
        <v>44981</v>
      </c>
      <c r="E136" s="21" t="s">
        <v>480</v>
      </c>
      <c r="F136" s="15">
        <f t="shared" si="23"/>
        <v>118291725</v>
      </c>
      <c r="G136" s="21" t="s">
        <v>62</v>
      </c>
      <c r="H136" s="15">
        <f t="shared" si="28"/>
        <v>0</v>
      </c>
      <c r="I136" s="21" t="s">
        <v>489</v>
      </c>
      <c r="J136" s="21" t="s">
        <v>489</v>
      </c>
      <c r="K136" s="21" t="s">
        <v>698</v>
      </c>
      <c r="L136" s="112">
        <v>44980</v>
      </c>
      <c r="M136" s="127">
        <v>9822</v>
      </c>
      <c r="N136" s="114">
        <v>44567</v>
      </c>
      <c r="O136" s="122" t="s">
        <v>66</v>
      </c>
      <c r="P136" s="115" t="s">
        <v>767</v>
      </c>
      <c r="Q136" s="122" t="s">
        <v>696</v>
      </c>
      <c r="R136" s="116" t="s">
        <v>491</v>
      </c>
      <c r="S136" s="115" t="s">
        <v>69</v>
      </c>
      <c r="T136" s="117"/>
      <c r="U136" s="117"/>
      <c r="V136" s="15">
        <v>118291725</v>
      </c>
      <c r="W136" s="15"/>
      <c r="X136" s="118" t="s">
        <v>1154</v>
      </c>
      <c r="Y136" s="118">
        <f t="shared" si="29"/>
        <v>118291725</v>
      </c>
      <c r="Z136" s="125" t="s">
        <v>79</v>
      </c>
      <c r="AA136" s="15">
        <v>0</v>
      </c>
      <c r="AB136" s="119" t="s">
        <v>492</v>
      </c>
      <c r="AC136" s="120"/>
      <c r="AD136" s="121">
        <v>901593328</v>
      </c>
      <c r="AE136" s="122" t="s">
        <v>1308</v>
      </c>
      <c r="AF136" s="126"/>
      <c r="AG136" s="114"/>
      <c r="AH136" s="21" t="s">
        <v>326</v>
      </c>
      <c r="AI136" s="21"/>
      <c r="AJ136" s="21"/>
      <c r="AK136" s="118">
        <v>0</v>
      </c>
      <c r="AL136" s="15">
        <v>118291725</v>
      </c>
      <c r="AM136" s="123"/>
      <c r="AN136" s="123"/>
      <c r="AO136" s="123"/>
      <c r="AP136" s="123"/>
      <c r="AQ136" s="123"/>
      <c r="AR136" s="123"/>
      <c r="AS136" s="123"/>
      <c r="AT136" s="123"/>
      <c r="AU136" s="123"/>
      <c r="AV136" s="123"/>
      <c r="AW136" s="124"/>
      <c r="AX136" s="124">
        <f>IF(AK136="","",ROUND(AL136*0%,2))</f>
        <v>0</v>
      </c>
      <c r="AY136" s="124">
        <f>IF(AK136="","",ROUND(AL136*100%,2))</f>
        <v>118291725</v>
      </c>
      <c r="AZ136" s="124">
        <f>IF(AK136="","",ROUND(AL136*0%,2))</f>
        <v>0</v>
      </c>
      <c r="BA136" s="21" t="s">
        <v>108</v>
      </c>
      <c r="BB136" s="21"/>
      <c r="BC136" s="21"/>
      <c r="BD136" s="21"/>
      <c r="BE136" s="21"/>
      <c r="BF136" s="21"/>
      <c r="BG136" s="21"/>
      <c r="BH136" s="21"/>
      <c r="BI136" s="21"/>
      <c r="BJ136" s="21"/>
    </row>
    <row r="137" spans="1:62" ht="14" x14ac:dyDescent="0.15">
      <c r="A137" s="17">
        <v>133</v>
      </c>
      <c r="B137" s="16" t="s">
        <v>699</v>
      </c>
      <c r="C137" s="15">
        <v>511512710</v>
      </c>
      <c r="D137" s="112">
        <v>44985</v>
      </c>
      <c r="E137" s="21" t="s">
        <v>85</v>
      </c>
      <c r="F137" s="15">
        <f t="shared" si="23"/>
        <v>511512710</v>
      </c>
      <c r="G137" s="21" t="s">
        <v>62</v>
      </c>
      <c r="H137" s="15">
        <f t="shared" si="28"/>
        <v>0</v>
      </c>
      <c r="I137" s="21" t="s">
        <v>700</v>
      </c>
      <c r="J137" s="21" t="s">
        <v>141</v>
      </c>
      <c r="K137" s="21" t="s">
        <v>618</v>
      </c>
      <c r="L137" s="112">
        <v>44985</v>
      </c>
      <c r="M137" s="127">
        <v>9822</v>
      </c>
      <c r="N137" s="114">
        <v>44567</v>
      </c>
      <c r="O137" s="122" t="s">
        <v>66</v>
      </c>
      <c r="P137" s="115" t="s">
        <v>767</v>
      </c>
      <c r="Q137" s="122" t="s">
        <v>696</v>
      </c>
      <c r="R137" s="116" t="s">
        <v>701</v>
      </c>
      <c r="S137" s="115" t="s">
        <v>69</v>
      </c>
      <c r="T137" s="117">
        <v>45048</v>
      </c>
      <c r="U137" s="117"/>
      <c r="V137" s="118">
        <v>460361439</v>
      </c>
      <c r="W137" s="118">
        <f t="shared" ref="W137:W142" si="30">+V137</f>
        <v>460361439</v>
      </c>
      <c r="X137" s="118" t="s">
        <v>1154</v>
      </c>
      <c r="Y137" s="118"/>
      <c r="Z137" s="118" t="s">
        <v>70</v>
      </c>
      <c r="AA137" s="118"/>
      <c r="AB137" s="119" t="s">
        <v>702</v>
      </c>
      <c r="AC137" s="120">
        <v>45048</v>
      </c>
      <c r="AD137" s="121">
        <v>901704796</v>
      </c>
      <c r="AE137" s="122" t="s">
        <v>1333</v>
      </c>
      <c r="AF137" s="126">
        <v>45078</v>
      </c>
      <c r="AG137" s="114">
        <v>45488</v>
      </c>
      <c r="AH137" s="21" t="s">
        <v>703</v>
      </c>
      <c r="AI137" s="21"/>
      <c r="AJ137" s="21"/>
      <c r="AK137" s="118">
        <v>40331979</v>
      </c>
      <c r="AL137" s="118">
        <f t="shared" ref="AL137:AL142" si="31">IF(AK137="","",V137-AK137)</f>
        <v>420029460</v>
      </c>
      <c r="AM137" s="123"/>
      <c r="AN137" s="123"/>
      <c r="AO137" s="123"/>
      <c r="AP137" s="123"/>
      <c r="AQ137" s="123"/>
      <c r="AR137" s="123"/>
      <c r="AS137" s="123"/>
      <c r="AT137" s="123"/>
      <c r="AU137" s="123"/>
      <c r="AV137" s="123">
        <v>0.1</v>
      </c>
      <c r="AW137" s="124">
        <f>IF(AK137="","",AK137)</f>
        <v>40331979</v>
      </c>
      <c r="AX137" s="124">
        <f>IF(AK137="","",ROUND(AL137/INT(LEFT(AH137,FIND("m",AH137)-1))*50%,2))</f>
        <v>17501227.5</v>
      </c>
      <c r="AY137" s="124">
        <f>IF(AK137="","",ROUND(AL137*40%,2))</f>
        <v>168011784</v>
      </c>
      <c r="AZ137" s="124">
        <f>IF(AK137="","",ROUND(AL137*10%,2))</f>
        <v>42002946</v>
      </c>
      <c r="BA137" s="21" t="s">
        <v>554</v>
      </c>
      <c r="BB137" s="21"/>
      <c r="BC137" s="21"/>
      <c r="BD137" s="21"/>
      <c r="BE137" s="21"/>
      <c r="BF137" s="21"/>
      <c r="BG137" s="21"/>
      <c r="BH137" s="21"/>
      <c r="BI137" s="21"/>
      <c r="BJ137" s="21"/>
    </row>
    <row r="138" spans="1:62" ht="14" x14ac:dyDescent="0.15">
      <c r="A138" s="17">
        <v>134</v>
      </c>
      <c r="B138" s="16" t="s">
        <v>704</v>
      </c>
      <c r="C138" s="15">
        <v>8310711083</v>
      </c>
      <c r="D138" s="112">
        <v>44985</v>
      </c>
      <c r="E138" s="21" t="s">
        <v>480</v>
      </c>
      <c r="F138" s="15">
        <f t="shared" si="23"/>
        <v>8310711083</v>
      </c>
      <c r="G138" s="21" t="s">
        <v>62</v>
      </c>
      <c r="H138" s="15">
        <f t="shared" si="28"/>
        <v>0</v>
      </c>
      <c r="I138" s="21" t="s">
        <v>700</v>
      </c>
      <c r="J138" s="21" t="s">
        <v>141</v>
      </c>
      <c r="K138" s="21" t="s">
        <v>618</v>
      </c>
      <c r="L138" s="112">
        <v>44985</v>
      </c>
      <c r="M138" s="127">
        <v>9822</v>
      </c>
      <c r="N138" s="114">
        <v>44567</v>
      </c>
      <c r="O138" s="122" t="s">
        <v>66</v>
      </c>
      <c r="P138" s="115" t="s">
        <v>767</v>
      </c>
      <c r="Q138" s="122" t="s">
        <v>696</v>
      </c>
      <c r="R138" s="116" t="s">
        <v>705</v>
      </c>
      <c r="S138" s="115" t="s">
        <v>69</v>
      </c>
      <c r="T138" s="117">
        <v>45044</v>
      </c>
      <c r="U138" s="117"/>
      <c r="V138" s="118">
        <v>8226196464</v>
      </c>
      <c r="W138" s="118">
        <f t="shared" si="30"/>
        <v>8226196464</v>
      </c>
      <c r="X138" s="118" t="s">
        <v>1154</v>
      </c>
      <c r="Y138" s="118"/>
      <c r="Z138" s="118" t="s">
        <v>70</v>
      </c>
      <c r="AA138" s="118"/>
      <c r="AB138" s="119" t="s">
        <v>706</v>
      </c>
      <c r="AC138" s="120">
        <v>45044</v>
      </c>
      <c r="AD138" s="121">
        <v>901702657</v>
      </c>
      <c r="AE138" s="122" t="s">
        <v>1334</v>
      </c>
      <c r="AF138" s="126">
        <v>45062</v>
      </c>
      <c r="AG138" s="114">
        <v>45443</v>
      </c>
      <c r="AH138" s="21" t="s">
        <v>637</v>
      </c>
      <c r="AI138" s="21"/>
      <c r="AJ138" s="21"/>
      <c r="AK138" s="118">
        <v>61880000</v>
      </c>
      <c r="AL138" s="118">
        <f t="shared" si="31"/>
        <v>8164316464</v>
      </c>
      <c r="AM138" s="123">
        <v>0.23169999999999999</v>
      </c>
      <c r="AN138" s="123">
        <v>0.01</v>
      </c>
      <c r="AO138" s="123">
        <v>0.05</v>
      </c>
      <c r="AP138" s="123"/>
      <c r="AQ138" s="123"/>
      <c r="AR138" s="123"/>
      <c r="AS138" s="123"/>
      <c r="AT138" s="123"/>
      <c r="AU138" s="123"/>
      <c r="AV138" s="123">
        <v>0.1</v>
      </c>
      <c r="AW138" s="124">
        <f>+AK138</f>
        <v>61880000</v>
      </c>
      <c r="AX138" s="124">
        <v>0</v>
      </c>
      <c r="AY138" s="124">
        <f>IF(AK138="","",ROUND(AL138*100%,2))</f>
        <v>8164316464</v>
      </c>
      <c r="AZ138" s="124">
        <v>0</v>
      </c>
      <c r="BA138" s="21" t="s">
        <v>299</v>
      </c>
      <c r="BB138" s="21"/>
      <c r="BC138" s="21"/>
      <c r="BD138" s="21"/>
      <c r="BE138" s="21"/>
      <c r="BF138" s="21"/>
      <c r="BG138" s="21"/>
      <c r="BH138" s="21"/>
      <c r="BI138" s="21"/>
      <c r="BJ138" s="21"/>
    </row>
    <row r="139" spans="1:62" ht="14" x14ac:dyDescent="0.15">
      <c r="A139" s="17">
        <v>135</v>
      </c>
      <c r="B139" s="16" t="s">
        <v>707</v>
      </c>
      <c r="C139" s="15">
        <v>1812524564</v>
      </c>
      <c r="D139" s="112">
        <v>44986</v>
      </c>
      <c r="E139" s="21" t="s">
        <v>480</v>
      </c>
      <c r="F139" s="15">
        <f t="shared" si="23"/>
        <v>1812524564</v>
      </c>
      <c r="G139" s="21" t="s">
        <v>62</v>
      </c>
      <c r="H139" s="15">
        <f t="shared" si="28"/>
        <v>0</v>
      </c>
      <c r="I139" s="21" t="s">
        <v>349</v>
      </c>
      <c r="J139" s="21" t="s">
        <v>350</v>
      </c>
      <c r="K139" s="21" t="s">
        <v>618</v>
      </c>
      <c r="L139" s="112">
        <v>44986</v>
      </c>
      <c r="M139" s="127">
        <v>9822</v>
      </c>
      <c r="N139" s="114">
        <v>44567</v>
      </c>
      <c r="O139" s="122" t="s">
        <v>66</v>
      </c>
      <c r="P139" s="115" t="s">
        <v>767</v>
      </c>
      <c r="Q139" s="122" t="s">
        <v>696</v>
      </c>
      <c r="R139" s="116" t="s">
        <v>708</v>
      </c>
      <c r="S139" s="115" t="s">
        <v>69</v>
      </c>
      <c r="T139" s="117">
        <v>45044</v>
      </c>
      <c r="U139" s="117"/>
      <c r="V139" s="118">
        <v>1743647771</v>
      </c>
      <c r="W139" s="118">
        <f t="shared" si="30"/>
        <v>1743647771</v>
      </c>
      <c r="X139" s="118" t="s">
        <v>1154</v>
      </c>
      <c r="Y139" s="118"/>
      <c r="Z139" s="118" t="s">
        <v>70</v>
      </c>
      <c r="AA139" s="118"/>
      <c r="AB139" s="119" t="s">
        <v>709</v>
      </c>
      <c r="AC139" s="120">
        <v>45044</v>
      </c>
      <c r="AD139" s="121">
        <v>901704286</v>
      </c>
      <c r="AE139" s="122" t="s">
        <v>1335</v>
      </c>
      <c r="AF139" s="126">
        <v>45090</v>
      </c>
      <c r="AG139" s="114">
        <v>45369</v>
      </c>
      <c r="AH139" s="21" t="s">
        <v>610</v>
      </c>
      <c r="AI139" s="21" t="s">
        <v>710</v>
      </c>
      <c r="AJ139" s="21"/>
      <c r="AK139" s="118">
        <v>57378557</v>
      </c>
      <c r="AL139" s="118">
        <f t="shared" si="31"/>
        <v>1686269214</v>
      </c>
      <c r="AM139" s="123"/>
      <c r="AN139" s="123"/>
      <c r="AO139" s="123"/>
      <c r="AP139" s="123"/>
      <c r="AQ139" s="123"/>
      <c r="AR139" s="123"/>
      <c r="AS139" s="123"/>
      <c r="AT139" s="123"/>
      <c r="AU139" s="123"/>
      <c r="AV139" s="123">
        <v>0.1</v>
      </c>
      <c r="AW139" s="124">
        <f>+AK139</f>
        <v>57378557</v>
      </c>
      <c r="AX139" s="124">
        <f>IF(AK139="","",ROUND(AL139*0%,2))</f>
        <v>0</v>
      </c>
      <c r="AY139" s="124">
        <f>IF(AK139="","",ROUND(AL139*100%,2))</f>
        <v>1686269214</v>
      </c>
      <c r="AZ139" s="124">
        <f>IF(AK139="","",ROUND(AL139*0%,2))</f>
        <v>0</v>
      </c>
      <c r="BA139" s="21"/>
      <c r="BB139" s="21"/>
      <c r="BC139" s="21"/>
      <c r="BD139" s="21"/>
      <c r="BE139" s="21"/>
      <c r="BF139" s="21"/>
      <c r="BG139" s="21"/>
      <c r="BH139" s="21"/>
      <c r="BI139" s="21"/>
      <c r="BJ139" s="21"/>
    </row>
    <row r="140" spans="1:62" ht="14" x14ac:dyDescent="0.15">
      <c r="A140" s="17">
        <v>136</v>
      </c>
      <c r="B140" s="16" t="s">
        <v>711</v>
      </c>
      <c r="C140" s="15">
        <v>238732480</v>
      </c>
      <c r="D140" s="112">
        <v>44986</v>
      </c>
      <c r="E140" s="21" t="s">
        <v>85</v>
      </c>
      <c r="F140" s="15">
        <f t="shared" si="23"/>
        <v>238732480</v>
      </c>
      <c r="G140" s="21" t="s">
        <v>62</v>
      </c>
      <c r="H140" s="15">
        <f t="shared" si="28"/>
        <v>0</v>
      </c>
      <c r="I140" s="21" t="s">
        <v>349</v>
      </c>
      <c r="J140" s="21" t="s">
        <v>350</v>
      </c>
      <c r="K140" s="21" t="s">
        <v>618</v>
      </c>
      <c r="L140" s="112">
        <v>44986</v>
      </c>
      <c r="M140" s="127">
        <v>9822</v>
      </c>
      <c r="N140" s="114">
        <v>44567</v>
      </c>
      <c r="O140" s="122" t="s">
        <v>66</v>
      </c>
      <c r="P140" s="115" t="s">
        <v>767</v>
      </c>
      <c r="Q140" s="122" t="s">
        <v>696</v>
      </c>
      <c r="R140" s="116" t="s">
        <v>712</v>
      </c>
      <c r="S140" s="115" t="s">
        <v>69</v>
      </c>
      <c r="T140" s="117">
        <v>45057</v>
      </c>
      <c r="U140" s="117"/>
      <c r="V140" s="118">
        <v>225040900</v>
      </c>
      <c r="W140" s="118">
        <f t="shared" si="30"/>
        <v>225040900</v>
      </c>
      <c r="X140" s="118" t="s">
        <v>1154</v>
      </c>
      <c r="Y140" s="118"/>
      <c r="Z140" s="118" t="s">
        <v>70</v>
      </c>
      <c r="AA140" s="118"/>
      <c r="AB140" s="119" t="s">
        <v>713</v>
      </c>
      <c r="AC140" s="120">
        <v>45057</v>
      </c>
      <c r="AD140" s="121">
        <v>901704108</v>
      </c>
      <c r="AE140" s="122" t="s">
        <v>1336</v>
      </c>
      <c r="AF140" s="126">
        <v>45090</v>
      </c>
      <c r="AG140" s="114">
        <v>45430</v>
      </c>
      <c r="AH140" s="21" t="s">
        <v>600</v>
      </c>
      <c r="AI140" s="21" t="s">
        <v>683</v>
      </c>
      <c r="AJ140" s="21"/>
      <c r="AK140" s="118">
        <f>34000000*1.19</f>
        <v>40460000</v>
      </c>
      <c r="AL140" s="118">
        <f t="shared" si="31"/>
        <v>184580900</v>
      </c>
      <c r="AM140" s="123"/>
      <c r="AN140" s="123"/>
      <c r="AO140" s="123"/>
      <c r="AP140" s="123"/>
      <c r="AQ140" s="123"/>
      <c r="AR140" s="123"/>
      <c r="AS140" s="123"/>
      <c r="AT140" s="123"/>
      <c r="AU140" s="123"/>
      <c r="AV140" s="123">
        <v>0.1</v>
      </c>
      <c r="AW140" s="124">
        <f>IF(AK140="","",AK140)</f>
        <v>40460000</v>
      </c>
      <c r="AX140" s="124">
        <f>IF(AK140="","",ROUND(AL140/INT(LEFT(AH140,FIND("m",AH140)-1))*50%,2))</f>
        <v>15381741.67</v>
      </c>
      <c r="AY140" s="124">
        <f>IF(AK140="","",ROUND(AL140*40%,2))</f>
        <v>73832360</v>
      </c>
      <c r="AZ140" s="124">
        <f>IF(AK140="","",ROUND(AL140*10%,2))</f>
        <v>18458090</v>
      </c>
      <c r="BA140" s="21"/>
      <c r="BB140" s="21"/>
      <c r="BC140" s="21"/>
      <c r="BD140" s="21"/>
      <c r="BE140" s="21"/>
      <c r="BF140" s="21"/>
      <c r="BG140" s="21"/>
      <c r="BH140" s="21"/>
      <c r="BI140" s="21"/>
      <c r="BJ140" s="21"/>
    </row>
    <row r="141" spans="1:62" ht="14" x14ac:dyDescent="0.15">
      <c r="A141" s="17">
        <v>137</v>
      </c>
      <c r="B141" s="16" t="s">
        <v>714</v>
      </c>
      <c r="C141" s="15">
        <v>1838117862</v>
      </c>
      <c r="D141" s="112">
        <v>44987</v>
      </c>
      <c r="E141" s="21" t="s">
        <v>480</v>
      </c>
      <c r="F141" s="15">
        <f t="shared" si="23"/>
        <v>1838117862</v>
      </c>
      <c r="G141" s="21" t="s">
        <v>62</v>
      </c>
      <c r="H141" s="15">
        <f t="shared" si="28"/>
        <v>0</v>
      </c>
      <c r="I141" s="21" t="s">
        <v>383</v>
      </c>
      <c r="J141" s="21" t="s">
        <v>384</v>
      </c>
      <c r="K141" s="21" t="s">
        <v>618</v>
      </c>
      <c r="L141" s="112">
        <v>44987</v>
      </c>
      <c r="M141" s="127">
        <v>9822</v>
      </c>
      <c r="N141" s="114">
        <v>44567</v>
      </c>
      <c r="O141" s="122" t="s">
        <v>66</v>
      </c>
      <c r="P141" s="115" t="s">
        <v>767</v>
      </c>
      <c r="Q141" s="122" t="s">
        <v>696</v>
      </c>
      <c r="R141" s="116" t="s">
        <v>715</v>
      </c>
      <c r="S141" s="115" t="s">
        <v>69</v>
      </c>
      <c r="T141" s="117">
        <v>45057</v>
      </c>
      <c r="U141" s="117"/>
      <c r="V141" s="118">
        <v>1773796755</v>
      </c>
      <c r="W141" s="118">
        <f t="shared" si="30"/>
        <v>1773796755</v>
      </c>
      <c r="X141" s="118" t="s">
        <v>1154</v>
      </c>
      <c r="Y141" s="118"/>
      <c r="Z141" s="125" t="s">
        <v>79</v>
      </c>
      <c r="AA141" s="118">
        <v>1717080965</v>
      </c>
      <c r="AB141" s="119" t="s">
        <v>716</v>
      </c>
      <c r="AC141" s="120">
        <v>45057</v>
      </c>
      <c r="AD141" s="121">
        <v>901703298</v>
      </c>
      <c r="AE141" s="122" t="s">
        <v>1337</v>
      </c>
      <c r="AF141" s="126">
        <v>45078</v>
      </c>
      <c r="AG141" s="114"/>
      <c r="AH141" s="21" t="s">
        <v>717</v>
      </c>
      <c r="AI141" s="21"/>
      <c r="AJ141" s="21"/>
      <c r="AK141" s="118">
        <v>56715790</v>
      </c>
      <c r="AL141" s="118">
        <f t="shared" si="31"/>
        <v>1717080965</v>
      </c>
      <c r="AM141" s="123"/>
      <c r="AN141" s="123"/>
      <c r="AO141" s="123"/>
      <c r="AP141" s="123"/>
      <c r="AQ141" s="123"/>
      <c r="AR141" s="123"/>
      <c r="AS141" s="123"/>
      <c r="AT141" s="123"/>
      <c r="AU141" s="123"/>
      <c r="AV141" s="123">
        <v>0.1</v>
      </c>
      <c r="AW141" s="124">
        <f>+AK141</f>
        <v>56715790</v>
      </c>
      <c r="AX141" s="124">
        <f>IF(AK141="","",ROUND(AL141*0%,2))</f>
        <v>0</v>
      </c>
      <c r="AY141" s="124">
        <f>IF(AK141="","",ROUND(AL141*100%,2))</f>
        <v>1717080965</v>
      </c>
      <c r="AZ141" s="124">
        <f>IF(AK141="","",ROUND(AL141*0%,2))</f>
        <v>0</v>
      </c>
      <c r="BA141" s="21"/>
      <c r="BB141" s="21"/>
      <c r="BC141" s="21"/>
      <c r="BD141" s="21"/>
      <c r="BE141" s="21"/>
      <c r="BF141" s="21"/>
      <c r="BG141" s="21"/>
      <c r="BH141" s="21"/>
      <c r="BI141" s="21"/>
      <c r="BJ141" s="21"/>
    </row>
    <row r="142" spans="1:62" ht="14" x14ac:dyDescent="0.15">
      <c r="A142" s="17">
        <v>138</v>
      </c>
      <c r="B142" s="16" t="s">
        <v>718</v>
      </c>
      <c r="C142" s="15">
        <v>346201560</v>
      </c>
      <c r="D142" s="112">
        <v>44987</v>
      </c>
      <c r="E142" s="21" t="s">
        <v>85</v>
      </c>
      <c r="F142" s="15">
        <f t="shared" si="23"/>
        <v>346201560</v>
      </c>
      <c r="G142" s="21" t="s">
        <v>62</v>
      </c>
      <c r="H142" s="15">
        <f t="shared" si="28"/>
        <v>0</v>
      </c>
      <c r="I142" s="21" t="s">
        <v>383</v>
      </c>
      <c r="J142" s="21" t="s">
        <v>384</v>
      </c>
      <c r="K142" s="21" t="s">
        <v>618</v>
      </c>
      <c r="L142" s="112">
        <v>44987</v>
      </c>
      <c r="M142" s="127">
        <v>9822</v>
      </c>
      <c r="N142" s="114">
        <v>44567</v>
      </c>
      <c r="O142" s="122" t="s">
        <v>66</v>
      </c>
      <c r="P142" s="115" t="s">
        <v>767</v>
      </c>
      <c r="Q142" s="122" t="s">
        <v>696</v>
      </c>
      <c r="R142" s="116" t="s">
        <v>719</v>
      </c>
      <c r="S142" s="115" t="s">
        <v>69</v>
      </c>
      <c r="T142" s="117">
        <v>45044</v>
      </c>
      <c r="U142" s="117"/>
      <c r="V142" s="118">
        <v>326030250</v>
      </c>
      <c r="W142" s="118">
        <f t="shared" si="30"/>
        <v>326030250</v>
      </c>
      <c r="X142" s="118" t="s">
        <v>1154</v>
      </c>
      <c r="Y142" s="118"/>
      <c r="Z142" s="118" t="s">
        <v>608</v>
      </c>
      <c r="AA142" s="118"/>
      <c r="AB142" s="119" t="s">
        <v>720</v>
      </c>
      <c r="AC142" s="120">
        <v>45044</v>
      </c>
      <c r="AD142" s="121">
        <v>901704626</v>
      </c>
      <c r="AE142" s="122" t="s">
        <v>1338</v>
      </c>
      <c r="AF142" s="126">
        <v>45444</v>
      </c>
      <c r="AG142" s="114">
        <v>45488</v>
      </c>
      <c r="AH142" s="21" t="s">
        <v>721</v>
      </c>
      <c r="AI142" s="21"/>
      <c r="AJ142" s="21"/>
      <c r="AK142" s="118">
        <v>39448500</v>
      </c>
      <c r="AL142" s="118">
        <f t="shared" si="31"/>
        <v>286581750</v>
      </c>
      <c r="AM142" s="123"/>
      <c r="AN142" s="123"/>
      <c r="AO142" s="123"/>
      <c r="AP142" s="123"/>
      <c r="AQ142" s="123"/>
      <c r="AR142" s="123"/>
      <c r="AS142" s="123"/>
      <c r="AT142" s="123"/>
      <c r="AU142" s="123"/>
      <c r="AV142" s="123">
        <v>0.1</v>
      </c>
      <c r="AW142" s="124">
        <f>+AK142</f>
        <v>39448500</v>
      </c>
      <c r="AX142" s="124">
        <f>IF(AK142="","",ROUND(AL142*30/255*50%,2))</f>
        <v>16857750</v>
      </c>
      <c r="AY142" s="124">
        <f>IF(AK142="","",ROUND(AL142*40%,2))</f>
        <v>114632700</v>
      </c>
      <c r="AZ142" s="124">
        <f t="shared" ref="AZ142:AZ152" si="32">IF(AK142="","",ROUND(AL142*10%,2))</f>
        <v>28658175</v>
      </c>
      <c r="BA142" s="21"/>
      <c r="BB142" s="21"/>
      <c r="BC142" s="21"/>
      <c r="BD142" s="21"/>
      <c r="BE142" s="21"/>
      <c r="BF142" s="21"/>
      <c r="BG142" s="21"/>
      <c r="BH142" s="21"/>
      <c r="BI142" s="21"/>
      <c r="BJ142" s="21"/>
    </row>
    <row r="143" spans="1:62" ht="14" x14ac:dyDescent="0.15">
      <c r="A143" s="17">
        <v>139</v>
      </c>
      <c r="B143" s="16" t="s">
        <v>722</v>
      </c>
      <c r="C143" s="15">
        <v>97110033</v>
      </c>
      <c r="D143" s="112">
        <v>44992</v>
      </c>
      <c r="E143" s="21" t="s">
        <v>723</v>
      </c>
      <c r="F143" s="15">
        <f t="shared" si="23"/>
        <v>97110033</v>
      </c>
      <c r="G143" s="21" t="s">
        <v>62</v>
      </c>
      <c r="H143" s="15">
        <f t="shared" si="28"/>
        <v>0</v>
      </c>
      <c r="I143" s="21" t="s">
        <v>561</v>
      </c>
      <c r="J143" s="21" t="s">
        <v>417</v>
      </c>
      <c r="K143" s="21" t="s">
        <v>724</v>
      </c>
      <c r="L143" s="112">
        <v>44991</v>
      </c>
      <c r="M143" s="122">
        <v>6384</v>
      </c>
      <c r="N143" s="114" t="s">
        <v>1351</v>
      </c>
      <c r="O143" s="122" t="s">
        <v>725</v>
      </c>
      <c r="P143" s="115" t="s">
        <v>726</v>
      </c>
      <c r="Q143" s="21" t="s">
        <v>727</v>
      </c>
      <c r="R143" s="116" t="s">
        <v>419</v>
      </c>
      <c r="S143" s="115" t="s">
        <v>69</v>
      </c>
      <c r="T143" s="117">
        <v>44924</v>
      </c>
      <c r="U143" s="117" t="s">
        <v>124</v>
      </c>
      <c r="V143" s="137">
        <v>97110033</v>
      </c>
      <c r="W143" s="118"/>
      <c r="X143" s="118" t="s">
        <v>1353</v>
      </c>
      <c r="Y143" s="118">
        <v>97110033</v>
      </c>
      <c r="Z143" s="118" t="s">
        <v>70</v>
      </c>
      <c r="AA143" s="118"/>
      <c r="AB143" s="119" t="s">
        <v>420</v>
      </c>
      <c r="AC143" s="120">
        <v>44924</v>
      </c>
      <c r="AD143" s="121">
        <v>890115120</v>
      </c>
      <c r="AE143" s="122" t="s">
        <v>1271</v>
      </c>
      <c r="AF143" s="126"/>
      <c r="AG143" s="114">
        <v>45055</v>
      </c>
      <c r="AH143" s="21" t="s">
        <v>683</v>
      </c>
      <c r="AI143" s="21"/>
      <c r="AJ143" s="21"/>
      <c r="AK143" s="118">
        <v>0</v>
      </c>
      <c r="AL143" s="118">
        <v>97110033</v>
      </c>
      <c r="AM143" s="123"/>
      <c r="AN143" s="123"/>
      <c r="AO143" s="123"/>
      <c r="AP143" s="123"/>
      <c r="AQ143" s="123"/>
      <c r="AR143" s="123"/>
      <c r="AS143" s="123"/>
      <c r="AT143" s="123"/>
      <c r="AU143" s="123"/>
      <c r="AV143" s="123"/>
      <c r="AW143" s="124"/>
      <c r="AX143" s="124">
        <f>+AL143/(60/30)*50%</f>
        <v>24277508.25</v>
      </c>
      <c r="AY143" s="124">
        <f>IF(AK143="","",ROUND(AL143*40%,2))</f>
        <v>38844013.200000003</v>
      </c>
      <c r="AZ143" s="124">
        <f t="shared" si="32"/>
        <v>9711003.3000000007</v>
      </c>
      <c r="BA143" s="21" t="s">
        <v>108</v>
      </c>
      <c r="BB143" s="21"/>
      <c r="BC143" s="21"/>
      <c r="BD143" s="21"/>
      <c r="BE143" s="21"/>
      <c r="BF143" s="21"/>
      <c r="BG143" s="21"/>
      <c r="BH143" s="21"/>
      <c r="BI143" s="21"/>
      <c r="BJ143" s="21"/>
    </row>
    <row r="144" spans="1:62" ht="14" x14ac:dyDescent="0.15">
      <c r="A144" s="17">
        <v>140</v>
      </c>
      <c r="B144" s="16" t="s">
        <v>728</v>
      </c>
      <c r="C144" s="15">
        <v>30746054</v>
      </c>
      <c r="D144" s="112">
        <v>45006</v>
      </c>
      <c r="E144" s="21" t="s">
        <v>61</v>
      </c>
      <c r="F144" s="15">
        <f t="shared" si="23"/>
        <v>30746054</v>
      </c>
      <c r="G144" s="21" t="s">
        <v>62</v>
      </c>
      <c r="H144" s="15">
        <f t="shared" si="28"/>
        <v>0</v>
      </c>
      <c r="I144" s="21" t="s">
        <v>455</v>
      </c>
      <c r="J144" s="21" t="s">
        <v>102</v>
      </c>
      <c r="K144" s="21" t="s">
        <v>729</v>
      </c>
      <c r="L144" s="112">
        <v>45006</v>
      </c>
      <c r="M144" s="127">
        <v>188121</v>
      </c>
      <c r="N144" s="114">
        <v>44550</v>
      </c>
      <c r="O144" s="115" t="s">
        <v>66</v>
      </c>
      <c r="P144" s="115" t="s">
        <v>767</v>
      </c>
      <c r="Q144" s="122" t="s">
        <v>730</v>
      </c>
      <c r="R144" s="116" t="s">
        <v>457</v>
      </c>
      <c r="S144" s="115" t="s">
        <v>69</v>
      </c>
      <c r="T144" s="117"/>
      <c r="U144" s="117"/>
      <c r="V144" s="118">
        <v>30746054</v>
      </c>
      <c r="W144" s="118"/>
      <c r="X144" s="118" t="s">
        <v>1154</v>
      </c>
      <c r="Y144" s="118">
        <f>+V144</f>
        <v>30746054</v>
      </c>
      <c r="Z144" s="118" t="s">
        <v>70</v>
      </c>
      <c r="AA144" s="118"/>
      <c r="AB144" s="119" t="s">
        <v>458</v>
      </c>
      <c r="AC144" s="120"/>
      <c r="AD144" s="121">
        <v>901588549</v>
      </c>
      <c r="AE144" s="122" t="s">
        <v>1304</v>
      </c>
      <c r="AF144" s="126"/>
      <c r="AG144" s="114">
        <v>45121</v>
      </c>
      <c r="AH144" s="21" t="s">
        <v>683</v>
      </c>
      <c r="AI144" s="21" t="s">
        <v>731</v>
      </c>
      <c r="AJ144" s="21"/>
      <c r="AK144" s="118">
        <v>0</v>
      </c>
      <c r="AL144" s="118">
        <f>F144</f>
        <v>30746054</v>
      </c>
      <c r="AM144" s="123"/>
      <c r="AN144" s="123"/>
      <c r="AO144" s="123"/>
      <c r="AP144" s="123"/>
      <c r="AQ144" s="123"/>
      <c r="AR144" s="123"/>
      <c r="AS144" s="123"/>
      <c r="AT144" s="123"/>
      <c r="AU144" s="123"/>
      <c r="AV144" s="123"/>
      <c r="AW144" s="124"/>
      <c r="AX144" s="124">
        <f>IF(AK144="","",ROUND(AL144/INT(LEFT(AH144,FIND("m",AH144)-1))*50%,0))</f>
        <v>7686514</v>
      </c>
      <c r="AY144" s="124">
        <f>IF(AK144="","",ROUND(AL144*40%,2))</f>
        <v>12298421.6</v>
      </c>
      <c r="AZ144" s="124">
        <f t="shared" si="32"/>
        <v>3074605.4</v>
      </c>
      <c r="BA144" s="21" t="s">
        <v>117</v>
      </c>
      <c r="BB144" s="21"/>
      <c r="BC144" s="21"/>
      <c r="BD144" s="21"/>
      <c r="BE144" s="21"/>
      <c r="BF144" s="21"/>
      <c r="BG144" s="21"/>
      <c r="BH144" s="21"/>
      <c r="BI144" s="21"/>
      <c r="BJ144" s="21"/>
    </row>
    <row r="145" spans="1:62" ht="14" x14ac:dyDescent="0.15">
      <c r="A145" s="17">
        <v>141</v>
      </c>
      <c r="B145" s="16" t="s">
        <v>732</v>
      </c>
      <c r="C145" s="15">
        <v>31751031.420000002</v>
      </c>
      <c r="D145" s="112">
        <v>45006</v>
      </c>
      <c r="E145" s="21" t="s">
        <v>61</v>
      </c>
      <c r="F145" s="15">
        <f t="shared" si="23"/>
        <v>31751031.420000002</v>
      </c>
      <c r="G145" s="21" t="s">
        <v>62</v>
      </c>
      <c r="H145" s="15">
        <f t="shared" si="28"/>
        <v>0</v>
      </c>
      <c r="I145" s="21" t="s">
        <v>182</v>
      </c>
      <c r="J145" s="21" t="s">
        <v>172</v>
      </c>
      <c r="K145" s="21" t="s">
        <v>733</v>
      </c>
      <c r="L145" s="112">
        <v>45006</v>
      </c>
      <c r="M145" s="127">
        <v>176921</v>
      </c>
      <c r="N145" s="114">
        <v>44477</v>
      </c>
      <c r="O145" s="115" t="s">
        <v>66</v>
      </c>
      <c r="P145" s="115" t="s">
        <v>767</v>
      </c>
      <c r="Q145" s="122" t="s">
        <v>730</v>
      </c>
      <c r="R145" s="116" t="s">
        <v>183</v>
      </c>
      <c r="S145" s="115" t="s">
        <v>69</v>
      </c>
      <c r="T145" s="117"/>
      <c r="U145" s="117"/>
      <c r="V145" s="118">
        <v>31751031.420000002</v>
      </c>
      <c r="W145" s="118"/>
      <c r="X145" s="118" t="s">
        <v>1154</v>
      </c>
      <c r="Y145" s="118">
        <f>+V145</f>
        <v>31751031.420000002</v>
      </c>
      <c r="Z145" s="125" t="s">
        <v>79</v>
      </c>
      <c r="AA145" s="118">
        <v>0</v>
      </c>
      <c r="AB145" s="119" t="s">
        <v>184</v>
      </c>
      <c r="AC145" s="120"/>
      <c r="AD145" s="121">
        <v>901579530</v>
      </c>
      <c r="AE145" s="122" t="s">
        <v>1269</v>
      </c>
      <c r="AF145" s="126"/>
      <c r="AG145" s="114">
        <v>45113</v>
      </c>
      <c r="AH145" s="21" t="s">
        <v>683</v>
      </c>
      <c r="AI145" s="21"/>
      <c r="AJ145" s="21"/>
      <c r="AK145" s="118">
        <v>0</v>
      </c>
      <c r="AL145" s="118">
        <v>31751031.420000002</v>
      </c>
      <c r="AM145" s="123"/>
      <c r="AN145" s="123"/>
      <c r="AO145" s="123"/>
      <c r="AP145" s="123"/>
      <c r="AQ145" s="123"/>
      <c r="AR145" s="123"/>
      <c r="AS145" s="123"/>
      <c r="AT145" s="123"/>
      <c r="AU145" s="123"/>
      <c r="AV145" s="123"/>
      <c r="AW145" s="124"/>
      <c r="AX145" s="124">
        <f>IF(AK145="","",ROUND(AL145/INT(LEFT(AH145,FIND("m",AH145)-1))*90%,2))</f>
        <v>14287964.140000001</v>
      </c>
      <c r="AY145" s="124"/>
      <c r="AZ145" s="124">
        <f t="shared" si="32"/>
        <v>3175103.14</v>
      </c>
      <c r="BA145" s="21"/>
      <c r="BB145" s="21"/>
      <c r="BC145" s="21"/>
      <c r="BD145" s="21"/>
      <c r="BE145" s="21"/>
      <c r="BF145" s="21"/>
      <c r="BG145" s="21"/>
      <c r="BH145" s="21"/>
      <c r="BI145" s="21"/>
      <c r="BJ145" s="21"/>
    </row>
    <row r="146" spans="1:62" ht="14" x14ac:dyDescent="0.15">
      <c r="A146" s="17">
        <v>142</v>
      </c>
      <c r="B146" s="16" t="s">
        <v>734</v>
      </c>
      <c r="C146" s="15">
        <v>335082960</v>
      </c>
      <c r="D146" s="112">
        <v>45040</v>
      </c>
      <c r="E146" s="21" t="s">
        <v>735</v>
      </c>
      <c r="F146" s="15">
        <f t="shared" si="23"/>
        <v>335082960</v>
      </c>
      <c r="G146" s="21" t="s">
        <v>62</v>
      </c>
      <c r="H146" s="15">
        <f t="shared" si="28"/>
        <v>0</v>
      </c>
      <c r="I146" s="21" t="s">
        <v>661</v>
      </c>
      <c r="J146" s="21" t="s">
        <v>141</v>
      </c>
      <c r="K146" s="21" t="s">
        <v>618</v>
      </c>
      <c r="L146" s="112">
        <v>45037</v>
      </c>
      <c r="M146" s="127">
        <v>9822</v>
      </c>
      <c r="N146" s="114">
        <v>44567</v>
      </c>
      <c r="O146" s="115" t="s">
        <v>66</v>
      </c>
      <c r="P146" s="115" t="s">
        <v>767</v>
      </c>
      <c r="Q146" s="122" t="s">
        <v>730</v>
      </c>
      <c r="R146" s="116" t="s">
        <v>736</v>
      </c>
      <c r="S146" s="115" t="s">
        <v>69</v>
      </c>
      <c r="T146" s="117">
        <v>45084</v>
      </c>
      <c r="U146" s="117"/>
      <c r="V146" s="118">
        <v>315384502</v>
      </c>
      <c r="W146" s="118">
        <f>+V146</f>
        <v>315384502</v>
      </c>
      <c r="X146" s="118" t="s">
        <v>1154</v>
      </c>
      <c r="Y146" s="118"/>
      <c r="Z146" s="118" t="s">
        <v>70</v>
      </c>
      <c r="AA146" s="118"/>
      <c r="AB146" s="119" t="s">
        <v>737</v>
      </c>
      <c r="AC146" s="120">
        <v>45111</v>
      </c>
      <c r="AD146" s="121">
        <v>901724275</v>
      </c>
      <c r="AE146" s="122" t="s">
        <v>1339</v>
      </c>
      <c r="AF146" s="126">
        <v>45118</v>
      </c>
      <c r="AG146" s="114">
        <v>45362</v>
      </c>
      <c r="AH146" s="21" t="s">
        <v>738</v>
      </c>
      <c r="AI146" s="21" t="s">
        <v>739</v>
      </c>
      <c r="AJ146" s="21"/>
      <c r="AK146" s="118">
        <v>0</v>
      </c>
      <c r="AL146" s="118">
        <f>V146-AK146</f>
        <v>315384502</v>
      </c>
      <c r="AM146" s="123"/>
      <c r="AN146" s="123"/>
      <c r="AO146" s="123"/>
      <c r="AP146" s="123"/>
      <c r="AQ146" s="123"/>
      <c r="AR146" s="123"/>
      <c r="AS146" s="123"/>
      <c r="AT146" s="123"/>
      <c r="AU146" s="123"/>
      <c r="AV146" s="123">
        <v>0.1</v>
      </c>
      <c r="AW146" s="124">
        <v>0</v>
      </c>
      <c r="AX146" s="124">
        <f>IF(AK146="","",ROUND(AL146/INT(LEFT(AH146,FIND("m",AH146)-1))*50%,2))</f>
        <v>19711531.379999999</v>
      </c>
      <c r="AY146" s="124">
        <f>IF(AK146="","",ROUND(AL146*40%,2))</f>
        <v>126153800.8</v>
      </c>
      <c r="AZ146" s="124">
        <f t="shared" si="32"/>
        <v>31538450.199999999</v>
      </c>
      <c r="BA146" s="21" t="s">
        <v>578</v>
      </c>
      <c r="BB146" s="21"/>
      <c r="BC146" s="21"/>
      <c r="BD146" s="21"/>
      <c r="BE146" s="21"/>
      <c r="BF146" s="21"/>
      <c r="BG146" s="21"/>
      <c r="BH146" s="21"/>
      <c r="BI146" s="21"/>
      <c r="BJ146" s="21"/>
    </row>
    <row r="147" spans="1:62" ht="14" x14ac:dyDescent="0.15">
      <c r="A147" s="17">
        <v>143</v>
      </c>
      <c r="B147" s="16" t="s">
        <v>740</v>
      </c>
      <c r="C147" s="15">
        <v>545942250</v>
      </c>
      <c r="D147" s="112">
        <v>45043</v>
      </c>
      <c r="E147" s="21" t="s">
        <v>735</v>
      </c>
      <c r="F147" s="15">
        <f t="shared" si="23"/>
        <v>545942250</v>
      </c>
      <c r="G147" s="21" t="s">
        <v>62</v>
      </c>
      <c r="H147" s="15">
        <f t="shared" si="28"/>
        <v>0</v>
      </c>
      <c r="I147" s="21" t="s">
        <v>594</v>
      </c>
      <c r="J147" s="21" t="s">
        <v>172</v>
      </c>
      <c r="K147" s="21" t="s">
        <v>618</v>
      </c>
      <c r="L147" s="112">
        <v>45041</v>
      </c>
      <c r="M147" s="127">
        <v>9822</v>
      </c>
      <c r="N147" s="114">
        <v>44567</v>
      </c>
      <c r="O147" s="115" t="s">
        <v>66</v>
      </c>
      <c r="P147" s="115" t="s">
        <v>767</v>
      </c>
      <c r="Q147" s="122" t="s">
        <v>730</v>
      </c>
      <c r="R147" s="116" t="s">
        <v>741</v>
      </c>
      <c r="S147" s="115" t="s">
        <v>69</v>
      </c>
      <c r="T147" s="117">
        <v>45090</v>
      </c>
      <c r="U147" s="117"/>
      <c r="V147" s="118">
        <v>534928624</v>
      </c>
      <c r="W147" s="118">
        <f>+V147</f>
        <v>534928624</v>
      </c>
      <c r="X147" s="118" t="s">
        <v>1154</v>
      </c>
      <c r="Y147" s="118"/>
      <c r="Z147" s="118" t="s">
        <v>70</v>
      </c>
      <c r="AA147" s="118"/>
      <c r="AB147" s="119" t="s">
        <v>742</v>
      </c>
      <c r="AC147" s="120">
        <v>45111</v>
      </c>
      <c r="AD147" s="121">
        <v>901723732</v>
      </c>
      <c r="AE147" s="122" t="s">
        <v>1018</v>
      </c>
      <c r="AF147" s="126">
        <v>45118</v>
      </c>
      <c r="AG147" s="114">
        <v>45484</v>
      </c>
      <c r="AH147" s="21" t="s">
        <v>743</v>
      </c>
      <c r="AI147" s="21"/>
      <c r="AJ147" s="21"/>
      <c r="AK147" s="118">
        <v>0</v>
      </c>
      <c r="AL147" s="118">
        <f>V147-AK147</f>
        <v>534928624</v>
      </c>
      <c r="AM147" s="123"/>
      <c r="AN147" s="123"/>
      <c r="AO147" s="123"/>
      <c r="AP147" s="123"/>
      <c r="AQ147" s="123"/>
      <c r="AR147" s="123"/>
      <c r="AS147" s="123"/>
      <c r="AT147" s="123"/>
      <c r="AU147" s="123"/>
      <c r="AV147" s="123">
        <v>0.1</v>
      </c>
      <c r="AW147" s="124">
        <v>0</v>
      </c>
      <c r="AX147" s="124">
        <f>IF(AK147="","",ROUND(AL147/INT(LEFT(AH147,FIND("m",AH147)-1))*50%,2))</f>
        <v>22288692.670000002</v>
      </c>
      <c r="AY147" s="124">
        <f>IF(AK147="","",ROUND(AL147*40%,2))</f>
        <v>213971449.59999999</v>
      </c>
      <c r="AZ147" s="124">
        <f t="shared" si="32"/>
        <v>53492862.399999999</v>
      </c>
      <c r="BA147" s="21" t="s">
        <v>578</v>
      </c>
      <c r="BB147" s="21"/>
      <c r="BC147" s="21"/>
      <c r="BD147" s="21"/>
      <c r="BE147" s="21"/>
      <c r="BF147" s="21"/>
      <c r="BG147" s="21"/>
      <c r="BH147" s="21"/>
      <c r="BI147" s="21"/>
      <c r="BJ147" s="21"/>
    </row>
    <row r="148" spans="1:62" ht="14" x14ac:dyDescent="0.15">
      <c r="A148" s="17">
        <v>144</v>
      </c>
      <c r="B148" s="16" t="s">
        <v>744</v>
      </c>
      <c r="C148" s="15">
        <v>71804127</v>
      </c>
      <c r="D148" s="112">
        <v>45048</v>
      </c>
      <c r="E148" s="21" t="s">
        <v>61</v>
      </c>
      <c r="F148" s="15">
        <f t="shared" si="23"/>
        <v>71804127</v>
      </c>
      <c r="G148" s="21" t="s">
        <v>62</v>
      </c>
      <c r="H148" s="15">
        <f t="shared" si="28"/>
        <v>0</v>
      </c>
      <c r="I148" s="21" t="s">
        <v>465</v>
      </c>
      <c r="J148" s="21" t="s">
        <v>136</v>
      </c>
      <c r="K148" s="21" t="s">
        <v>745</v>
      </c>
      <c r="L148" s="112">
        <v>45044</v>
      </c>
      <c r="M148" s="127">
        <v>188021</v>
      </c>
      <c r="N148" s="114">
        <v>44550</v>
      </c>
      <c r="O148" s="115" t="s">
        <v>66</v>
      </c>
      <c r="P148" s="115" t="s">
        <v>767</v>
      </c>
      <c r="Q148" s="122" t="s">
        <v>730</v>
      </c>
      <c r="R148" s="116" t="s">
        <v>467</v>
      </c>
      <c r="S148" s="115" t="s">
        <v>69</v>
      </c>
      <c r="T148" s="117">
        <v>45048</v>
      </c>
      <c r="U148" s="117"/>
      <c r="V148" s="118">
        <v>71804127</v>
      </c>
      <c r="W148" s="118"/>
      <c r="X148" s="118" t="s">
        <v>1154</v>
      </c>
      <c r="Y148" s="118">
        <f>+V148</f>
        <v>71804127</v>
      </c>
      <c r="Z148" s="118" t="s">
        <v>79</v>
      </c>
      <c r="AA148" s="118"/>
      <c r="AB148" s="119" t="s">
        <v>468</v>
      </c>
      <c r="AC148" s="120">
        <v>45048</v>
      </c>
      <c r="AD148" s="121">
        <v>901588851</v>
      </c>
      <c r="AE148" s="122" t="s">
        <v>1289</v>
      </c>
      <c r="AF148" s="126"/>
      <c r="AG148" s="114">
        <v>45140</v>
      </c>
      <c r="AH148" s="21" t="s">
        <v>683</v>
      </c>
      <c r="AI148" s="21" t="s">
        <v>326</v>
      </c>
      <c r="AJ148" s="21"/>
      <c r="AK148" s="118">
        <v>0</v>
      </c>
      <c r="AL148" s="118">
        <v>71804127</v>
      </c>
      <c r="AM148" s="123"/>
      <c r="AN148" s="123"/>
      <c r="AO148" s="123"/>
      <c r="AP148" s="123"/>
      <c r="AQ148" s="123"/>
      <c r="AR148" s="123"/>
      <c r="AS148" s="123"/>
      <c r="AT148" s="123"/>
      <c r="AU148" s="123"/>
      <c r="AV148" s="123">
        <v>0.1</v>
      </c>
      <c r="AW148" s="124"/>
      <c r="AX148" s="124">
        <f>IF(AK148="","",ROUND(AL148/INT(LEFT(AH148,FIND("m",AH148)-1))*90%,2))</f>
        <v>32311857.149999999</v>
      </c>
      <c r="AY148" s="124"/>
      <c r="AZ148" s="124">
        <f t="shared" si="32"/>
        <v>7180412.7000000002</v>
      </c>
      <c r="BA148" s="21"/>
      <c r="BB148" s="21"/>
      <c r="BC148" s="21"/>
      <c r="BD148" s="21"/>
      <c r="BE148" s="21"/>
      <c r="BF148" s="21"/>
      <c r="BG148" s="21"/>
      <c r="BH148" s="21"/>
      <c r="BI148" s="21"/>
      <c r="BJ148" s="21"/>
    </row>
    <row r="149" spans="1:62" ht="14" x14ac:dyDescent="0.15">
      <c r="A149" s="17">
        <v>145</v>
      </c>
      <c r="B149" s="16" t="s">
        <v>746</v>
      </c>
      <c r="C149" s="15">
        <v>42282187.5</v>
      </c>
      <c r="D149" s="112">
        <v>45048</v>
      </c>
      <c r="E149" s="21" t="s">
        <v>61</v>
      </c>
      <c r="F149" s="15">
        <f t="shared" si="23"/>
        <v>42282187.5</v>
      </c>
      <c r="G149" s="21" t="s">
        <v>62</v>
      </c>
      <c r="H149" s="15">
        <f t="shared" si="28"/>
        <v>0</v>
      </c>
      <c r="I149" s="21" t="s">
        <v>129</v>
      </c>
      <c r="J149" s="21" t="s">
        <v>130</v>
      </c>
      <c r="K149" s="21" t="s">
        <v>747</v>
      </c>
      <c r="L149" s="112">
        <v>45044</v>
      </c>
      <c r="M149" s="127">
        <v>176921</v>
      </c>
      <c r="N149" s="114">
        <v>44477</v>
      </c>
      <c r="O149" s="115" t="s">
        <v>66</v>
      </c>
      <c r="P149" s="115" t="s">
        <v>767</v>
      </c>
      <c r="Q149" s="122" t="s">
        <v>730</v>
      </c>
      <c r="R149" s="116" t="s">
        <v>131</v>
      </c>
      <c r="S149" s="115" t="s">
        <v>69</v>
      </c>
      <c r="T149" s="117">
        <v>45048</v>
      </c>
      <c r="U149" s="117"/>
      <c r="V149" s="15">
        <v>42282187.5</v>
      </c>
      <c r="W149" s="15"/>
      <c r="X149" s="118" t="s">
        <v>1154</v>
      </c>
      <c r="Y149" s="118">
        <f>+V149</f>
        <v>42282187.5</v>
      </c>
      <c r="Z149" s="125" t="s">
        <v>79</v>
      </c>
      <c r="AA149" s="15"/>
      <c r="AB149" s="119" t="s">
        <v>132</v>
      </c>
      <c r="AC149" s="120">
        <v>45048</v>
      </c>
      <c r="AD149" s="121">
        <v>901579893</v>
      </c>
      <c r="AE149" s="122" t="s">
        <v>1266</v>
      </c>
      <c r="AF149" s="126"/>
      <c r="AG149" s="114">
        <v>45201</v>
      </c>
      <c r="AH149" s="21" t="s">
        <v>748</v>
      </c>
      <c r="AI149" s="21" t="s">
        <v>683</v>
      </c>
      <c r="AJ149" s="21"/>
      <c r="AK149" s="118">
        <v>0</v>
      </c>
      <c r="AL149" s="118">
        <f>IF(AK149="","",V149-AK149)</f>
        <v>42282187.5</v>
      </c>
      <c r="AM149" s="123"/>
      <c r="AN149" s="123"/>
      <c r="AO149" s="123"/>
      <c r="AP149" s="123"/>
      <c r="AQ149" s="123"/>
      <c r="AR149" s="123"/>
      <c r="AS149" s="123"/>
      <c r="AT149" s="123"/>
      <c r="AU149" s="123"/>
      <c r="AV149" s="123"/>
      <c r="AW149" s="124"/>
      <c r="AX149" s="124">
        <f>IF(AK149="","",ROUND(AL149/INT(LEFT(AH149,FIND("m",AH149)-1))*90%,0))</f>
        <v>12684656</v>
      </c>
      <c r="AY149" s="124"/>
      <c r="AZ149" s="124">
        <f t="shared" si="32"/>
        <v>4228218.75</v>
      </c>
      <c r="BA149" s="21" t="s">
        <v>74</v>
      </c>
      <c r="BB149" s="21"/>
      <c r="BC149" s="21"/>
      <c r="BD149" s="21"/>
      <c r="BE149" s="21"/>
      <c r="BF149" s="21"/>
      <c r="BG149" s="21"/>
      <c r="BH149" s="21"/>
      <c r="BI149" s="21"/>
      <c r="BJ149" s="21"/>
    </row>
    <row r="150" spans="1:62" ht="14" x14ac:dyDescent="0.15">
      <c r="A150" s="17">
        <v>146</v>
      </c>
      <c r="B150" s="16" t="s">
        <v>749</v>
      </c>
      <c r="C150" s="15">
        <v>22002348</v>
      </c>
      <c r="D150" s="112">
        <v>45062</v>
      </c>
      <c r="E150" s="21" t="s">
        <v>61</v>
      </c>
      <c r="F150" s="15">
        <f t="shared" si="23"/>
        <v>22002348</v>
      </c>
      <c r="G150" s="21" t="s">
        <v>62</v>
      </c>
      <c r="H150" s="15">
        <f t="shared" si="28"/>
        <v>0</v>
      </c>
      <c r="I150" s="21" t="s">
        <v>501</v>
      </c>
      <c r="J150" s="21" t="s">
        <v>120</v>
      </c>
      <c r="K150" s="21" t="s">
        <v>750</v>
      </c>
      <c r="L150" s="112">
        <v>45061</v>
      </c>
      <c r="M150" s="127">
        <v>176921</v>
      </c>
      <c r="N150" s="114">
        <v>44477</v>
      </c>
      <c r="O150" s="115" t="s">
        <v>66</v>
      </c>
      <c r="P150" s="115" t="s">
        <v>767</v>
      </c>
      <c r="Q150" s="122" t="s">
        <v>730</v>
      </c>
      <c r="R150" s="116" t="s">
        <v>502</v>
      </c>
      <c r="S150" s="115" t="s">
        <v>69</v>
      </c>
      <c r="T150" s="117"/>
      <c r="U150" s="117"/>
      <c r="V150" s="118">
        <v>22002348</v>
      </c>
      <c r="W150" s="118"/>
      <c r="X150" s="118" t="s">
        <v>1154</v>
      </c>
      <c r="Y150" s="118">
        <f>+V150</f>
        <v>22002348</v>
      </c>
      <c r="Z150" s="125" t="s">
        <v>70</v>
      </c>
      <c r="AA150" s="118"/>
      <c r="AB150" s="119" t="s">
        <v>503</v>
      </c>
      <c r="AC150" s="120"/>
      <c r="AD150" s="121">
        <v>901590548</v>
      </c>
      <c r="AE150" s="122" t="s">
        <v>1309</v>
      </c>
      <c r="AF150" s="126"/>
      <c r="AG150" s="114">
        <v>45206</v>
      </c>
      <c r="AH150" s="21" t="s">
        <v>683</v>
      </c>
      <c r="AI150" s="21"/>
      <c r="AJ150" s="21"/>
      <c r="AK150" s="118">
        <v>0</v>
      </c>
      <c r="AL150" s="118">
        <v>22002348</v>
      </c>
      <c r="AM150" s="123"/>
      <c r="AN150" s="123"/>
      <c r="AO150" s="123"/>
      <c r="AP150" s="123"/>
      <c r="AQ150" s="123"/>
      <c r="AR150" s="123"/>
      <c r="AS150" s="123"/>
      <c r="AT150" s="123"/>
      <c r="AU150" s="123"/>
      <c r="AV150" s="123"/>
      <c r="AW150" s="124"/>
      <c r="AX150" s="124">
        <f>IF(AK150="","",ROUND(AL150/INT(LEFT(AH150,FIND("m",AH150)-1))*90%,0))</f>
        <v>9901057</v>
      </c>
      <c r="AY150" s="124"/>
      <c r="AZ150" s="124">
        <f t="shared" si="32"/>
        <v>2200234.7999999998</v>
      </c>
      <c r="BA150" s="21"/>
      <c r="BB150" s="21"/>
      <c r="BC150" s="124">
        <f>+AL150*0.9/2</f>
        <v>9901056.5999999996</v>
      </c>
      <c r="BD150" s="21"/>
      <c r="BE150" s="21"/>
      <c r="BF150" s="21"/>
      <c r="BG150" s="21"/>
      <c r="BH150" s="21"/>
      <c r="BI150" s="21"/>
      <c r="BJ150" s="21"/>
    </row>
    <row r="151" spans="1:62" ht="14" x14ac:dyDescent="0.15">
      <c r="A151" s="17">
        <v>147</v>
      </c>
      <c r="B151" s="16" t="s">
        <v>751</v>
      </c>
      <c r="C151" s="15">
        <v>11125025</v>
      </c>
      <c r="D151" s="112">
        <v>45062</v>
      </c>
      <c r="E151" s="21" t="s">
        <v>85</v>
      </c>
      <c r="F151" s="15">
        <f t="shared" si="23"/>
        <v>11125025</v>
      </c>
      <c r="G151" s="21" t="s">
        <v>62</v>
      </c>
      <c r="H151" s="15">
        <f t="shared" si="28"/>
        <v>0</v>
      </c>
      <c r="I151" s="21" t="s">
        <v>355</v>
      </c>
      <c r="J151" s="21" t="s">
        <v>172</v>
      </c>
      <c r="K151" s="122" t="s">
        <v>752</v>
      </c>
      <c r="L151" s="112">
        <v>45061</v>
      </c>
      <c r="M151" s="127">
        <v>176921</v>
      </c>
      <c r="N151" s="114">
        <v>44477</v>
      </c>
      <c r="O151" s="115" t="s">
        <v>66</v>
      </c>
      <c r="P151" s="115" t="s">
        <v>767</v>
      </c>
      <c r="Q151" s="122" t="s">
        <v>730</v>
      </c>
      <c r="R151" s="116" t="s">
        <v>356</v>
      </c>
      <c r="S151" s="115" t="s">
        <v>69</v>
      </c>
      <c r="T151" s="117">
        <v>45063</v>
      </c>
      <c r="U151" s="117"/>
      <c r="V151" s="118">
        <v>11125025</v>
      </c>
      <c r="W151" s="118"/>
      <c r="X151" s="118" t="s">
        <v>1154</v>
      </c>
      <c r="Y151" s="118">
        <f>+V151</f>
        <v>11125025</v>
      </c>
      <c r="Z151" s="118" t="s">
        <v>79</v>
      </c>
      <c r="AA151" s="118"/>
      <c r="AB151" s="119" t="s">
        <v>357</v>
      </c>
      <c r="AC151" s="120">
        <v>45063</v>
      </c>
      <c r="AD151" s="121">
        <v>901579530</v>
      </c>
      <c r="AE151" s="122" t="s">
        <v>1269</v>
      </c>
      <c r="AF151" s="126"/>
      <c r="AG151" s="114">
        <v>45156</v>
      </c>
      <c r="AH151" s="21" t="s">
        <v>326</v>
      </c>
      <c r="AI151" s="21" t="s">
        <v>326</v>
      </c>
      <c r="AJ151" s="21"/>
      <c r="AK151" s="118">
        <v>0</v>
      </c>
      <c r="AL151" s="118">
        <v>11125025</v>
      </c>
      <c r="AM151" s="123"/>
      <c r="AN151" s="123"/>
      <c r="AO151" s="123"/>
      <c r="AP151" s="123"/>
      <c r="AQ151" s="123"/>
      <c r="AR151" s="123"/>
      <c r="AS151" s="123"/>
      <c r="AT151" s="123"/>
      <c r="AU151" s="123"/>
      <c r="AV151" s="123"/>
      <c r="AW151" s="124"/>
      <c r="AX151" s="124">
        <f>IF(AK151="","",ROUND(AL151/INT(LEFT(AH151,FIND("m",AH151)-1))*90%,2))</f>
        <v>10012522.5</v>
      </c>
      <c r="AY151" s="124"/>
      <c r="AZ151" s="124">
        <f t="shared" si="32"/>
        <v>1112502.5</v>
      </c>
      <c r="BA151" s="21" t="s">
        <v>83</v>
      </c>
      <c r="BB151" s="21"/>
      <c r="BC151" s="21"/>
      <c r="BD151" s="21"/>
      <c r="BE151" s="21"/>
      <c r="BF151" s="21"/>
      <c r="BG151" s="21"/>
      <c r="BH151" s="21"/>
      <c r="BI151" s="21"/>
      <c r="BJ151" s="21"/>
    </row>
    <row r="152" spans="1:62" ht="14" x14ac:dyDescent="0.15">
      <c r="A152" s="17">
        <v>148</v>
      </c>
      <c r="B152" s="16" t="s">
        <v>753</v>
      </c>
      <c r="C152" s="15">
        <v>29300771</v>
      </c>
      <c r="D152" s="112">
        <v>45069</v>
      </c>
      <c r="E152" s="21" t="s">
        <v>61</v>
      </c>
      <c r="F152" s="15">
        <f t="shared" si="23"/>
        <v>29300771</v>
      </c>
      <c r="G152" s="21" t="s">
        <v>62</v>
      </c>
      <c r="H152" s="15">
        <f t="shared" si="28"/>
        <v>0</v>
      </c>
      <c r="I152" s="21" t="s">
        <v>301</v>
      </c>
      <c r="J152" s="21" t="s">
        <v>130</v>
      </c>
      <c r="K152" s="21" t="s">
        <v>754</v>
      </c>
      <c r="L152" s="112">
        <v>45069</v>
      </c>
      <c r="M152" s="127">
        <v>188121</v>
      </c>
      <c r="N152" s="114">
        <v>44550</v>
      </c>
      <c r="O152" s="115" t="s">
        <v>66</v>
      </c>
      <c r="P152" s="115" t="s">
        <v>767</v>
      </c>
      <c r="Q152" s="122" t="s">
        <v>730</v>
      </c>
      <c r="R152" s="116" t="s">
        <v>302</v>
      </c>
      <c r="S152" s="115" t="s">
        <v>69</v>
      </c>
      <c r="T152" s="117"/>
      <c r="U152" s="117"/>
      <c r="V152" s="118">
        <v>29300771</v>
      </c>
      <c r="W152" s="118"/>
      <c r="X152" s="118" t="s">
        <v>1154</v>
      </c>
      <c r="Y152" s="118">
        <f>+V152</f>
        <v>29300771</v>
      </c>
      <c r="Z152" s="118" t="s">
        <v>70</v>
      </c>
      <c r="AA152" s="118"/>
      <c r="AB152" s="119" t="s">
        <v>303</v>
      </c>
      <c r="AC152" s="120"/>
      <c r="AD152" s="121">
        <v>901581425</v>
      </c>
      <c r="AE152" s="122" t="s">
        <v>1286</v>
      </c>
      <c r="AF152" s="126"/>
      <c r="AG152" s="114">
        <v>45165</v>
      </c>
      <c r="AH152" s="21" t="s">
        <v>755</v>
      </c>
      <c r="AI152" s="21"/>
      <c r="AJ152" s="21"/>
      <c r="AK152" s="118">
        <v>0</v>
      </c>
      <c r="AL152" s="118">
        <v>29300771</v>
      </c>
      <c r="AM152" s="123"/>
      <c r="AN152" s="123"/>
      <c r="AO152" s="123"/>
      <c r="AP152" s="123"/>
      <c r="AQ152" s="123"/>
      <c r="AR152" s="123"/>
      <c r="AS152" s="123"/>
      <c r="AT152" s="123"/>
      <c r="AU152" s="123"/>
      <c r="AV152" s="123"/>
      <c r="AW152" s="124"/>
      <c r="AX152" s="124">
        <f>IF(AK152="","",ROUND(AL152/1.5*50%,0))</f>
        <v>9766924</v>
      </c>
      <c r="AY152" s="124">
        <f>IF(AK152="","",ROUND(AL152*40%,2))</f>
        <v>11720308.4</v>
      </c>
      <c r="AZ152" s="124">
        <f t="shared" si="32"/>
        <v>2930077.1</v>
      </c>
      <c r="BA152" s="21"/>
      <c r="BB152" s="21"/>
      <c r="BC152" s="21"/>
      <c r="BD152" s="21"/>
      <c r="BE152" s="21"/>
      <c r="BF152" s="21"/>
      <c r="BG152" s="21"/>
      <c r="BH152" s="21"/>
      <c r="BI152" s="21"/>
      <c r="BJ152" s="21"/>
    </row>
    <row r="153" spans="1:62" ht="14" x14ac:dyDescent="0.15">
      <c r="A153" s="17">
        <v>149</v>
      </c>
      <c r="B153" s="16" t="s">
        <v>756</v>
      </c>
      <c r="C153" s="15">
        <v>12000000</v>
      </c>
      <c r="D153" s="112">
        <v>45069</v>
      </c>
      <c r="E153" s="21" t="s">
        <v>723</v>
      </c>
      <c r="F153" s="15">
        <f t="shared" si="23"/>
        <v>12000000</v>
      </c>
      <c r="G153" s="21" t="s">
        <v>62</v>
      </c>
      <c r="H153" s="15">
        <f t="shared" si="28"/>
        <v>0</v>
      </c>
      <c r="I153" s="21" t="s">
        <v>217</v>
      </c>
      <c r="J153" s="21" t="s">
        <v>64</v>
      </c>
      <c r="K153" s="21" t="s">
        <v>757</v>
      </c>
      <c r="L153" s="112">
        <v>45069</v>
      </c>
      <c r="M153" s="127">
        <v>1000197</v>
      </c>
      <c r="N153" s="114">
        <v>45008</v>
      </c>
      <c r="O153" s="115" t="s">
        <v>725</v>
      </c>
      <c r="P153" s="115" t="s">
        <v>758</v>
      </c>
      <c r="Q153" s="122" t="s">
        <v>759</v>
      </c>
      <c r="R153" s="116" t="s">
        <v>218</v>
      </c>
      <c r="S153" s="115" t="s">
        <v>69</v>
      </c>
      <c r="T153" s="117"/>
      <c r="U153" s="117" t="s">
        <v>124</v>
      </c>
      <c r="V153" s="137">
        <v>12000000</v>
      </c>
      <c r="W153" s="118"/>
      <c r="X153" s="118" t="s">
        <v>1117</v>
      </c>
      <c r="Y153" s="118">
        <v>12000000</v>
      </c>
      <c r="Z153" s="125" t="s">
        <v>70</v>
      </c>
      <c r="AA153" s="118"/>
      <c r="AB153" s="119" t="s">
        <v>219</v>
      </c>
      <c r="AC153" s="120"/>
      <c r="AD153" s="121">
        <v>901579969</v>
      </c>
      <c r="AE153" s="122" t="s">
        <v>1276</v>
      </c>
      <c r="AF153" s="126"/>
      <c r="AG153" s="114"/>
      <c r="AH153" s="21"/>
      <c r="AI153" s="21"/>
      <c r="AJ153" s="21"/>
      <c r="AK153" s="118"/>
      <c r="AL153" s="118"/>
      <c r="AM153" s="123"/>
      <c r="AN153" s="123"/>
      <c r="AO153" s="123"/>
      <c r="AP153" s="123"/>
      <c r="AQ153" s="123"/>
      <c r="AR153" s="123"/>
      <c r="AS153" s="123"/>
      <c r="AT153" s="123"/>
      <c r="AU153" s="123"/>
      <c r="AV153" s="123"/>
      <c r="AW153" s="124"/>
      <c r="AX153" s="124"/>
      <c r="AY153" s="124"/>
      <c r="AZ153" s="124"/>
      <c r="BA153" s="21"/>
      <c r="BB153" s="21"/>
      <c r="BC153" s="21"/>
      <c r="BD153" s="21"/>
      <c r="BE153" s="21"/>
      <c r="BF153" s="21"/>
      <c r="BG153" s="21"/>
      <c r="BH153" s="21"/>
      <c r="BI153" s="21"/>
      <c r="BJ153" s="21"/>
    </row>
    <row r="154" spans="1:62" ht="14" x14ac:dyDescent="0.15">
      <c r="A154" s="17">
        <v>150</v>
      </c>
      <c r="B154" s="16" t="s">
        <v>760</v>
      </c>
      <c r="C154" s="15">
        <v>39392716</v>
      </c>
      <c r="D154" s="112">
        <v>45069</v>
      </c>
      <c r="E154" s="21" t="s">
        <v>61</v>
      </c>
      <c r="F154" s="15">
        <f t="shared" si="23"/>
        <v>39392716</v>
      </c>
      <c r="G154" s="21" t="s">
        <v>62</v>
      </c>
      <c r="H154" s="15">
        <f t="shared" si="28"/>
        <v>0</v>
      </c>
      <c r="I154" s="21" t="s">
        <v>431</v>
      </c>
      <c r="J154" s="21" t="s">
        <v>160</v>
      </c>
      <c r="K154" s="21" t="s">
        <v>761</v>
      </c>
      <c r="L154" s="112">
        <v>45069</v>
      </c>
      <c r="M154" s="127">
        <v>188021</v>
      </c>
      <c r="N154" s="114">
        <v>44550</v>
      </c>
      <c r="O154" s="115" t="s">
        <v>66</v>
      </c>
      <c r="P154" s="115" t="s">
        <v>767</v>
      </c>
      <c r="Q154" s="122" t="s">
        <v>730</v>
      </c>
      <c r="R154" s="116" t="s">
        <v>432</v>
      </c>
      <c r="S154" s="115" t="s">
        <v>69</v>
      </c>
      <c r="T154" s="117"/>
      <c r="U154" s="117"/>
      <c r="V154" s="118">
        <v>39392716</v>
      </c>
      <c r="W154" s="118"/>
      <c r="X154" s="118" t="s">
        <v>1154</v>
      </c>
      <c r="Y154" s="118">
        <f>+V154</f>
        <v>39392716</v>
      </c>
      <c r="Z154" s="118" t="s">
        <v>79</v>
      </c>
      <c r="AA154" s="118">
        <v>0</v>
      </c>
      <c r="AB154" s="119" t="s">
        <v>433</v>
      </c>
      <c r="AC154" s="120"/>
      <c r="AD154" s="121">
        <v>8746699</v>
      </c>
      <c r="AE154" s="122" t="s">
        <v>1282</v>
      </c>
      <c r="AF154" s="126"/>
      <c r="AG154" s="114">
        <v>45224</v>
      </c>
      <c r="AH154" s="21" t="s">
        <v>367</v>
      </c>
      <c r="AI154" s="21" t="s">
        <v>762</v>
      </c>
      <c r="AJ154" s="21"/>
      <c r="AK154" s="118">
        <v>0</v>
      </c>
      <c r="AL154" s="118">
        <v>39392716</v>
      </c>
      <c r="AM154" s="123"/>
      <c r="AN154" s="123"/>
      <c r="AO154" s="123"/>
      <c r="AP154" s="123"/>
      <c r="AQ154" s="123"/>
      <c r="AR154" s="123"/>
      <c r="AS154" s="123"/>
      <c r="AT154" s="123"/>
      <c r="AU154" s="123"/>
      <c r="AV154" s="123"/>
      <c r="AW154" s="124"/>
      <c r="AX154" s="124">
        <f>IF(AK154="","",ROUND(AL154*30/75*90%,0))</f>
        <v>14181378</v>
      </c>
      <c r="AY154" s="124"/>
      <c r="AZ154" s="124">
        <f>IF(AK154="","",ROUND(AL154*10%,2))</f>
        <v>3939271.6</v>
      </c>
      <c r="BA154" s="21"/>
      <c r="BB154" s="21"/>
      <c r="BC154" s="21"/>
      <c r="BD154" s="21"/>
      <c r="BE154" s="21"/>
      <c r="BF154" s="21"/>
      <c r="BG154" s="21"/>
      <c r="BH154" s="21"/>
      <c r="BI154" s="21"/>
      <c r="BJ154" s="21"/>
    </row>
    <row r="155" spans="1:62" ht="14" x14ac:dyDescent="0.15">
      <c r="A155" s="17">
        <v>151</v>
      </c>
      <c r="B155" s="16" t="s">
        <v>763</v>
      </c>
      <c r="C155" s="15">
        <v>16684920</v>
      </c>
      <c r="D155" s="112">
        <v>45069</v>
      </c>
      <c r="E155" s="21" t="s">
        <v>61</v>
      </c>
      <c r="F155" s="15">
        <f t="shared" si="23"/>
        <v>16684920</v>
      </c>
      <c r="G155" s="21" t="s">
        <v>62</v>
      </c>
      <c r="H155" s="15">
        <f t="shared" si="28"/>
        <v>0</v>
      </c>
      <c r="I155" s="21" t="s">
        <v>389</v>
      </c>
      <c r="J155" s="21" t="s">
        <v>223</v>
      </c>
      <c r="K155" s="21" t="s">
        <v>764</v>
      </c>
      <c r="L155" s="112">
        <v>45069</v>
      </c>
      <c r="M155" s="127">
        <v>176921</v>
      </c>
      <c r="N155" s="114">
        <v>44477</v>
      </c>
      <c r="O155" s="115" t="s">
        <v>66</v>
      </c>
      <c r="P155" s="115" t="s">
        <v>767</v>
      </c>
      <c r="Q155" s="122" t="s">
        <v>730</v>
      </c>
      <c r="R155" s="116" t="s">
        <v>390</v>
      </c>
      <c r="S155" s="115" t="s">
        <v>69</v>
      </c>
      <c r="T155" s="117">
        <v>45069</v>
      </c>
      <c r="U155" s="117"/>
      <c r="V155" s="118">
        <v>16684920</v>
      </c>
      <c r="W155" s="118"/>
      <c r="X155" s="118" t="s">
        <v>1154</v>
      </c>
      <c r="Y155" s="118">
        <f>+V155</f>
        <v>16684920</v>
      </c>
      <c r="Z155" s="118" t="s">
        <v>79</v>
      </c>
      <c r="AA155" s="118"/>
      <c r="AB155" s="119" t="s">
        <v>391</v>
      </c>
      <c r="AC155" s="120">
        <v>45069</v>
      </c>
      <c r="AD155" s="121">
        <v>901586873</v>
      </c>
      <c r="AE155" s="122" t="s">
        <v>1298</v>
      </c>
      <c r="AF155" s="126">
        <v>45069</v>
      </c>
      <c r="AG155" s="114">
        <v>45143</v>
      </c>
      <c r="AH155" s="21" t="s">
        <v>532</v>
      </c>
      <c r="AI155" s="21"/>
      <c r="AJ155" s="21"/>
      <c r="AK155" s="118">
        <v>0</v>
      </c>
      <c r="AL155" s="118">
        <v>16684920</v>
      </c>
      <c r="AM155" s="123"/>
      <c r="AN155" s="123"/>
      <c r="AO155" s="123"/>
      <c r="AP155" s="123"/>
      <c r="AQ155" s="123"/>
      <c r="AR155" s="123"/>
      <c r="AS155" s="123"/>
      <c r="AT155" s="123"/>
      <c r="AU155" s="123"/>
      <c r="AV155" s="123">
        <v>0.1</v>
      </c>
      <c r="AW155" s="124"/>
      <c r="AX155" s="124">
        <v>16684920</v>
      </c>
      <c r="AY155" s="124"/>
      <c r="AZ155" s="124">
        <v>0</v>
      </c>
      <c r="BA155" s="21" t="s">
        <v>99</v>
      </c>
      <c r="BB155" s="21"/>
      <c r="BC155" s="21"/>
      <c r="BD155" s="21"/>
      <c r="BE155" s="21"/>
      <c r="BF155" s="21"/>
      <c r="BG155" s="21"/>
      <c r="BH155" s="21"/>
      <c r="BI155" s="21"/>
      <c r="BJ155" s="21"/>
    </row>
    <row r="156" spans="1:62" ht="14" x14ac:dyDescent="0.15">
      <c r="A156" s="17">
        <v>152</v>
      </c>
      <c r="B156" s="16" t="s">
        <v>765</v>
      </c>
      <c r="C156" s="15">
        <v>290659296</v>
      </c>
      <c r="D156" s="112">
        <v>45075</v>
      </c>
      <c r="E156" s="21" t="s">
        <v>61</v>
      </c>
      <c r="F156" s="15">
        <f t="shared" si="23"/>
        <v>290659296</v>
      </c>
      <c r="G156" s="21" t="s">
        <v>62</v>
      </c>
      <c r="H156" s="15">
        <v>0</v>
      </c>
      <c r="I156" s="21" t="s">
        <v>141</v>
      </c>
      <c r="J156" s="21" t="s">
        <v>141</v>
      </c>
      <c r="K156" s="21" t="s">
        <v>766</v>
      </c>
      <c r="L156" s="112">
        <v>45075</v>
      </c>
      <c r="M156" s="127">
        <v>176921</v>
      </c>
      <c r="N156" s="114">
        <v>44477</v>
      </c>
      <c r="O156" s="122" t="s">
        <v>66</v>
      </c>
      <c r="P156" s="115" t="s">
        <v>767</v>
      </c>
      <c r="Q156" s="122" t="s">
        <v>730</v>
      </c>
      <c r="R156" s="116" t="s">
        <v>204</v>
      </c>
      <c r="S156" s="115" t="s">
        <v>69</v>
      </c>
      <c r="T156" s="117">
        <v>45069</v>
      </c>
      <c r="U156" s="117"/>
      <c r="V156" s="118">
        <v>290659296</v>
      </c>
      <c r="W156" s="118"/>
      <c r="X156" s="118" t="s">
        <v>1154</v>
      </c>
      <c r="Y156" s="118">
        <f>+V156</f>
        <v>290659296</v>
      </c>
      <c r="Z156" s="125" t="s">
        <v>70</v>
      </c>
      <c r="AA156" s="118"/>
      <c r="AB156" s="119" t="s">
        <v>205</v>
      </c>
      <c r="AC156" s="120">
        <v>45069</v>
      </c>
      <c r="AD156" s="121">
        <v>87069865</v>
      </c>
      <c r="AE156" s="122" t="s">
        <v>1268</v>
      </c>
      <c r="AF156" s="126"/>
      <c r="AG156" s="114">
        <v>45198</v>
      </c>
      <c r="AH156" s="21" t="s">
        <v>768</v>
      </c>
      <c r="AI156" s="21" t="s">
        <v>769</v>
      </c>
      <c r="AJ156" s="21"/>
      <c r="AK156" s="118">
        <v>0</v>
      </c>
      <c r="AL156" s="118">
        <f>V156</f>
        <v>290659296</v>
      </c>
      <c r="AM156" s="123"/>
      <c r="AN156" s="123"/>
      <c r="AO156" s="123"/>
      <c r="AP156" s="123"/>
      <c r="AQ156" s="123"/>
      <c r="AR156" s="123"/>
      <c r="AS156" s="123"/>
      <c r="AT156" s="123"/>
      <c r="AU156" s="123"/>
      <c r="AV156" s="123">
        <v>0.1</v>
      </c>
      <c r="AW156" s="124"/>
      <c r="AX156" s="124">
        <f>IF(AK156="","",ROUND(AL156/INT(LEFT(AH156,FIND("m",AH156)-1))*50%,2))</f>
        <v>36332412</v>
      </c>
      <c r="AY156" s="124">
        <f>IF(AK156="","",ROUND(AL156*40%,2))</f>
        <v>116263718.40000001</v>
      </c>
      <c r="AZ156" s="124">
        <f>IF(AK156="","",ROUND(AL156*10%,2))</f>
        <v>29065929.600000001</v>
      </c>
      <c r="BA156" s="21" t="s">
        <v>83</v>
      </c>
      <c r="BB156" s="21"/>
      <c r="BC156" s="21"/>
      <c r="BD156" s="21"/>
      <c r="BE156" s="21"/>
      <c r="BF156" s="21"/>
      <c r="BG156" s="21"/>
      <c r="BH156" s="21"/>
      <c r="BI156" s="21"/>
      <c r="BJ156" s="21"/>
    </row>
    <row r="157" spans="1:62" ht="14" x14ac:dyDescent="0.15">
      <c r="A157" s="17">
        <v>153</v>
      </c>
      <c r="B157" s="16" t="s">
        <v>770</v>
      </c>
      <c r="C157" s="15">
        <v>375749440</v>
      </c>
      <c r="D157" s="112">
        <v>45085</v>
      </c>
      <c r="E157" s="21" t="s">
        <v>735</v>
      </c>
      <c r="F157" s="15">
        <f t="shared" si="23"/>
        <v>375749440</v>
      </c>
      <c r="G157" s="21" t="s">
        <v>62</v>
      </c>
      <c r="H157" s="15">
        <v>0</v>
      </c>
      <c r="I157" s="21" t="s">
        <v>580</v>
      </c>
      <c r="J157" s="21" t="s">
        <v>172</v>
      </c>
      <c r="K157" s="21" t="s">
        <v>618</v>
      </c>
      <c r="L157" s="112">
        <v>45085</v>
      </c>
      <c r="M157" s="127">
        <v>9822</v>
      </c>
      <c r="N157" s="114">
        <v>44567</v>
      </c>
      <c r="O157" s="115" t="s">
        <v>66</v>
      </c>
      <c r="P157" s="115" t="s">
        <v>767</v>
      </c>
      <c r="Q157" s="122" t="s">
        <v>730</v>
      </c>
      <c r="R157" s="116" t="s">
        <v>771</v>
      </c>
      <c r="S157" s="115" t="s">
        <v>69</v>
      </c>
      <c r="T157" s="117">
        <v>45134</v>
      </c>
      <c r="U157" s="117"/>
      <c r="V157" s="118">
        <v>354068698</v>
      </c>
      <c r="W157" s="118">
        <f>+V157</f>
        <v>354068698</v>
      </c>
      <c r="X157" s="118" t="s">
        <v>1154</v>
      </c>
      <c r="Y157" s="118"/>
      <c r="Z157" s="118" t="s">
        <v>79</v>
      </c>
      <c r="AA157" s="118"/>
      <c r="AB157" s="119" t="s">
        <v>772</v>
      </c>
      <c r="AC157" s="120">
        <v>45134</v>
      </c>
      <c r="AD157" s="121">
        <v>901587675</v>
      </c>
      <c r="AE157" s="122" t="s">
        <v>1312</v>
      </c>
      <c r="AF157" s="126">
        <v>45141</v>
      </c>
      <c r="AG157" s="114">
        <v>45415</v>
      </c>
      <c r="AH157" s="21" t="s">
        <v>773</v>
      </c>
      <c r="AI157" s="21"/>
      <c r="AJ157" s="21"/>
      <c r="AK157" s="118">
        <v>0</v>
      </c>
      <c r="AL157" s="118">
        <f>V157-AK157</f>
        <v>354068698</v>
      </c>
      <c r="AM157" s="123"/>
      <c r="AN157" s="123"/>
      <c r="AO157" s="123"/>
      <c r="AP157" s="123"/>
      <c r="AQ157" s="123"/>
      <c r="AR157" s="123"/>
      <c r="AS157" s="123"/>
      <c r="AT157" s="123"/>
      <c r="AU157" s="123"/>
      <c r="AV157" s="123">
        <v>0.1</v>
      </c>
      <c r="AW157" s="124">
        <v>0</v>
      </c>
      <c r="AX157" s="124">
        <f>IF(AK157="","",ROUND(AL157/INT(LEFT(AH157,FIND("m",AH157)-1))*50%,2))</f>
        <v>19670483.219999999</v>
      </c>
      <c r="AY157" s="124">
        <f>IF(AK157="","",ROUND(AL157*40%,2))</f>
        <v>141627479.19999999</v>
      </c>
      <c r="AZ157" s="124">
        <f>IF(AK157="","",ROUND(AL157*10%,2))</f>
        <v>35406869.799999997</v>
      </c>
      <c r="BA157" s="21" t="s">
        <v>578</v>
      </c>
      <c r="BB157" s="21"/>
      <c r="BC157" s="21"/>
      <c r="BD157" s="21"/>
      <c r="BE157" s="21"/>
      <c r="BF157" s="21"/>
      <c r="BG157" s="21"/>
      <c r="BH157" s="21"/>
      <c r="BI157" s="21"/>
      <c r="BJ157" s="21"/>
    </row>
    <row r="158" spans="1:62" ht="14" x14ac:dyDescent="0.15">
      <c r="A158" s="17">
        <v>154</v>
      </c>
      <c r="B158" s="16" t="s">
        <v>774</v>
      </c>
      <c r="C158" s="15">
        <v>335082960</v>
      </c>
      <c r="D158" s="112">
        <v>45085</v>
      </c>
      <c r="E158" s="21" t="s">
        <v>735</v>
      </c>
      <c r="F158" s="15">
        <f t="shared" si="23"/>
        <v>335082960</v>
      </c>
      <c r="G158" s="21" t="s">
        <v>62</v>
      </c>
      <c r="H158" s="15">
        <v>0</v>
      </c>
      <c r="I158" s="21" t="s">
        <v>775</v>
      </c>
      <c r="J158" s="21" t="s">
        <v>172</v>
      </c>
      <c r="K158" s="21" t="s">
        <v>618</v>
      </c>
      <c r="L158" s="112">
        <v>45085</v>
      </c>
      <c r="M158" s="127">
        <v>9822</v>
      </c>
      <c r="N158" s="114">
        <v>44567</v>
      </c>
      <c r="O158" s="115" t="s">
        <v>66</v>
      </c>
      <c r="P158" s="115" t="s">
        <v>767</v>
      </c>
      <c r="Q158" s="122" t="s">
        <v>730</v>
      </c>
      <c r="R158" s="116" t="s">
        <v>776</v>
      </c>
      <c r="S158" s="115" t="s">
        <v>69</v>
      </c>
      <c r="T158" s="117">
        <v>45191</v>
      </c>
      <c r="U158" s="117"/>
      <c r="V158" s="118">
        <v>315345597</v>
      </c>
      <c r="W158" s="118">
        <f>+V158</f>
        <v>315345597</v>
      </c>
      <c r="X158" s="118" t="s">
        <v>1154</v>
      </c>
      <c r="Y158" s="118"/>
      <c r="Z158" s="125" t="s">
        <v>608</v>
      </c>
      <c r="AA158" s="118"/>
      <c r="AB158" s="119" t="s">
        <v>777</v>
      </c>
      <c r="AC158" s="120">
        <v>45191</v>
      </c>
      <c r="AD158" s="121">
        <v>901740126</v>
      </c>
      <c r="AE158" s="122" t="s">
        <v>1340</v>
      </c>
      <c r="AF158" s="126">
        <v>45240</v>
      </c>
      <c r="AG158" s="114">
        <v>45513</v>
      </c>
      <c r="AH158" s="21" t="s">
        <v>738</v>
      </c>
      <c r="AI158" s="21" t="s">
        <v>186</v>
      </c>
      <c r="AJ158" s="21"/>
      <c r="AK158" s="118">
        <v>0</v>
      </c>
      <c r="AL158" s="118">
        <f>V158-AK158</f>
        <v>315345597</v>
      </c>
      <c r="AM158" s="123"/>
      <c r="AN158" s="123"/>
      <c r="AO158" s="123"/>
      <c r="AP158" s="123"/>
      <c r="AQ158" s="123"/>
      <c r="AR158" s="123"/>
      <c r="AS158" s="123"/>
      <c r="AT158" s="123"/>
      <c r="AU158" s="123"/>
      <c r="AV158" s="123">
        <v>0.1</v>
      </c>
      <c r="AW158" s="124"/>
      <c r="AX158" s="124">
        <f>IF(AK158="","",ROUND(AL158/8*50%,2))</f>
        <v>19709099.809999999</v>
      </c>
      <c r="AY158" s="124">
        <f>IF(AK158="","",ROUND(AL158*40%,2))</f>
        <v>126138238.8</v>
      </c>
      <c r="AZ158" s="124">
        <f>IF(AK158="","",ROUND(AL158*10%,2))</f>
        <v>31534559.699999999</v>
      </c>
      <c r="BA158" s="21"/>
      <c r="BB158" s="21"/>
      <c r="BC158" s="21"/>
      <c r="BD158" s="21"/>
      <c r="BE158" s="21"/>
      <c r="BF158" s="21"/>
      <c r="BG158" s="21"/>
      <c r="BH158" s="21"/>
      <c r="BI158" s="21"/>
      <c r="BJ158" s="21"/>
    </row>
    <row r="159" spans="1:62" ht="14" x14ac:dyDescent="0.15">
      <c r="A159" s="17">
        <v>155</v>
      </c>
      <c r="B159" s="16" t="s">
        <v>778</v>
      </c>
      <c r="C159" s="15">
        <v>348769960</v>
      </c>
      <c r="D159" s="112">
        <v>45103</v>
      </c>
      <c r="E159" s="21" t="s">
        <v>61</v>
      </c>
      <c r="F159" s="15">
        <f t="shared" si="23"/>
        <v>348769960</v>
      </c>
      <c r="G159" s="21" t="s">
        <v>62</v>
      </c>
      <c r="H159" s="15">
        <f t="shared" ref="H159:H222" si="33">C159-F159</f>
        <v>0</v>
      </c>
      <c r="I159" s="21" t="s">
        <v>101</v>
      </c>
      <c r="J159" s="21" t="s">
        <v>102</v>
      </c>
      <c r="K159" s="21" t="s">
        <v>779</v>
      </c>
      <c r="L159" s="112">
        <v>45103</v>
      </c>
      <c r="M159" s="21">
        <v>176921</v>
      </c>
      <c r="N159" s="114">
        <v>44477</v>
      </c>
      <c r="O159" s="115" t="s">
        <v>66</v>
      </c>
      <c r="P159" s="115" t="s">
        <v>767</v>
      </c>
      <c r="Q159" s="122" t="s">
        <v>730</v>
      </c>
      <c r="R159" s="116" t="s">
        <v>103</v>
      </c>
      <c r="S159" s="115" t="s">
        <v>69</v>
      </c>
      <c r="T159" s="117">
        <v>45104</v>
      </c>
      <c r="U159" s="117"/>
      <c r="V159" s="118">
        <v>348769960</v>
      </c>
      <c r="W159" s="118"/>
      <c r="X159" s="118" t="s">
        <v>1154</v>
      </c>
      <c r="Y159" s="118">
        <f>+V159</f>
        <v>348769960</v>
      </c>
      <c r="Z159" s="125" t="s">
        <v>104</v>
      </c>
      <c r="AA159" s="118"/>
      <c r="AB159" s="119" t="s">
        <v>105</v>
      </c>
      <c r="AC159" s="117">
        <v>45104</v>
      </c>
      <c r="AD159" s="121">
        <v>901575078</v>
      </c>
      <c r="AE159" s="122" t="s">
        <v>1264</v>
      </c>
      <c r="AF159" s="126">
        <v>44655</v>
      </c>
      <c r="AG159" s="114">
        <v>45320</v>
      </c>
      <c r="AH159" s="21" t="s">
        <v>780</v>
      </c>
      <c r="AI159" s="21" t="s">
        <v>781</v>
      </c>
      <c r="AJ159" s="21"/>
      <c r="AK159" s="118">
        <v>0</v>
      </c>
      <c r="AL159" s="118">
        <v>348769960</v>
      </c>
      <c r="AM159" s="123"/>
      <c r="AN159" s="123"/>
      <c r="AO159" s="123"/>
      <c r="AP159" s="123"/>
      <c r="AQ159" s="123"/>
      <c r="AR159" s="123"/>
      <c r="AS159" s="123"/>
      <c r="AT159" s="123"/>
      <c r="AU159" s="123"/>
      <c r="AV159" s="123">
        <v>0.1</v>
      </c>
      <c r="AW159" s="124"/>
      <c r="AX159" s="124">
        <f>IF(AK159="","",ROUND(AL159/(129/30)*50%,0))</f>
        <v>40554647</v>
      </c>
      <c r="AY159" s="124">
        <f>IF(AK159="","",ROUND(AL159*40%,2))</f>
        <v>139507984</v>
      </c>
      <c r="AZ159" s="124">
        <f>IF(AK159="","",ROUND(AL159*10%,2))</f>
        <v>34876996</v>
      </c>
      <c r="BA159" s="21" t="s">
        <v>108</v>
      </c>
      <c r="BB159" s="21"/>
      <c r="BC159" s="21"/>
      <c r="BD159" s="21"/>
      <c r="BE159" s="21"/>
      <c r="BF159" s="21"/>
      <c r="BG159" s="21"/>
      <c r="BH159" s="21"/>
      <c r="BI159" s="21"/>
      <c r="BJ159" s="21"/>
    </row>
    <row r="160" spans="1:62" ht="14" x14ac:dyDescent="0.15">
      <c r="A160" s="17">
        <v>156</v>
      </c>
      <c r="B160" s="16" t="s">
        <v>782</v>
      </c>
      <c r="C160" s="15">
        <v>51539713</v>
      </c>
      <c r="D160" s="112">
        <v>45124</v>
      </c>
      <c r="E160" s="21" t="s">
        <v>723</v>
      </c>
      <c r="F160" s="15">
        <f t="shared" si="23"/>
        <v>51539713</v>
      </c>
      <c r="G160" s="21" t="s">
        <v>62</v>
      </c>
      <c r="H160" s="15">
        <f t="shared" si="33"/>
        <v>0</v>
      </c>
      <c r="I160" s="21" t="s">
        <v>369</v>
      </c>
      <c r="J160" s="21" t="s">
        <v>102</v>
      </c>
      <c r="K160" s="21" t="s">
        <v>783</v>
      </c>
      <c r="L160" s="112">
        <v>45124</v>
      </c>
      <c r="M160" s="122" t="s">
        <v>784</v>
      </c>
      <c r="N160" s="114">
        <v>45086</v>
      </c>
      <c r="O160" s="122" t="s">
        <v>725</v>
      </c>
      <c r="P160" s="115" t="s">
        <v>785</v>
      </c>
      <c r="Q160" s="122" t="s">
        <v>786</v>
      </c>
      <c r="R160" s="116" t="s">
        <v>370</v>
      </c>
      <c r="S160" s="115" t="s">
        <v>69</v>
      </c>
      <c r="T160" s="117">
        <v>45125</v>
      </c>
      <c r="U160" s="117" t="s">
        <v>124</v>
      </c>
      <c r="V160" s="137">
        <v>51539713</v>
      </c>
      <c r="W160" s="118"/>
      <c r="X160" s="118" t="s">
        <v>1117</v>
      </c>
      <c r="Y160" s="118">
        <v>51539713</v>
      </c>
      <c r="Z160" s="118" t="s">
        <v>79</v>
      </c>
      <c r="AA160" s="118"/>
      <c r="AB160" s="119" t="s">
        <v>371</v>
      </c>
      <c r="AC160" s="120">
        <v>45125</v>
      </c>
      <c r="AD160" s="121">
        <v>802008390</v>
      </c>
      <c r="AE160" s="122" t="s">
        <v>1294</v>
      </c>
      <c r="AF160" s="126"/>
      <c r="AG160" s="114">
        <v>45254</v>
      </c>
      <c r="AH160" s="21" t="s">
        <v>768</v>
      </c>
      <c r="AI160" s="21"/>
      <c r="AJ160" s="21"/>
      <c r="AK160" s="118">
        <v>0</v>
      </c>
      <c r="AL160" s="118">
        <v>51539713</v>
      </c>
      <c r="AM160" s="123"/>
      <c r="AN160" s="123"/>
      <c r="AO160" s="123"/>
      <c r="AP160" s="123"/>
      <c r="AQ160" s="123"/>
      <c r="AR160" s="123"/>
      <c r="AS160" s="123"/>
      <c r="AT160" s="123"/>
      <c r="AU160" s="123"/>
      <c r="AV160" s="123">
        <v>0.1</v>
      </c>
      <c r="AW160" s="124"/>
      <c r="AX160" s="124">
        <f>IF(AK160="","",ROUND(AL160/INT(LEFT(AH160,FIND("m",AH160)-1))*90%,0))</f>
        <v>11596435</v>
      </c>
      <c r="AY160" s="124"/>
      <c r="AZ160" s="124">
        <f>IF(AK160="","",ROUND(AL160*10%,2))</f>
        <v>5153971.3</v>
      </c>
      <c r="BA160" s="21" t="s">
        <v>117</v>
      </c>
      <c r="BB160" s="21"/>
      <c r="BC160" s="21"/>
      <c r="BD160" s="21"/>
      <c r="BE160" s="21"/>
      <c r="BF160" s="21"/>
      <c r="BG160" s="21"/>
      <c r="BH160" s="21"/>
      <c r="BI160" s="21"/>
      <c r="BJ160" s="21"/>
    </row>
    <row r="161" spans="1:62" ht="14" x14ac:dyDescent="0.15">
      <c r="A161" s="17">
        <v>157</v>
      </c>
      <c r="B161" s="16" t="s">
        <v>787</v>
      </c>
      <c r="C161" s="15">
        <v>120159095</v>
      </c>
      <c r="D161" s="112">
        <v>45124</v>
      </c>
      <c r="E161" s="21" t="s">
        <v>480</v>
      </c>
      <c r="F161" s="15">
        <f t="shared" si="23"/>
        <v>120159095</v>
      </c>
      <c r="G161" s="21" t="s">
        <v>62</v>
      </c>
      <c r="H161" s="15">
        <f t="shared" si="33"/>
        <v>0</v>
      </c>
      <c r="I161" s="21" t="s">
        <v>485</v>
      </c>
      <c r="J161" s="21" t="s">
        <v>87</v>
      </c>
      <c r="K161" s="21" t="s">
        <v>788</v>
      </c>
      <c r="L161" s="112">
        <v>45124</v>
      </c>
      <c r="M161" s="127">
        <v>9822</v>
      </c>
      <c r="N161" s="114">
        <v>44567</v>
      </c>
      <c r="O161" s="115" t="s">
        <v>66</v>
      </c>
      <c r="P161" s="115" t="s">
        <v>767</v>
      </c>
      <c r="Q161" s="122" t="s">
        <v>730</v>
      </c>
      <c r="R161" s="116" t="s">
        <v>125</v>
      </c>
      <c r="S161" s="115" t="s">
        <v>69</v>
      </c>
      <c r="T161" s="117" t="s">
        <v>429</v>
      </c>
      <c r="U161" s="117" t="s">
        <v>124</v>
      </c>
      <c r="V161" s="118">
        <v>0</v>
      </c>
      <c r="W161" s="118">
        <f>+V161</f>
        <v>0</v>
      </c>
      <c r="X161" s="118" t="s">
        <v>125</v>
      </c>
      <c r="Y161" s="118"/>
      <c r="Z161" s="118" t="s">
        <v>453</v>
      </c>
      <c r="AA161" s="118">
        <v>0</v>
      </c>
      <c r="AB161" s="119" t="s">
        <v>125</v>
      </c>
      <c r="AC161" s="120"/>
      <c r="AD161" s="121"/>
      <c r="AE161" s="122" t="s">
        <v>1159</v>
      </c>
      <c r="AF161" s="126"/>
      <c r="AG161" s="114"/>
      <c r="AH161" s="21"/>
      <c r="AI161" s="21"/>
      <c r="AJ161" s="21"/>
      <c r="AK161" s="118"/>
      <c r="AL161" s="118"/>
      <c r="AM161" s="123"/>
      <c r="AN161" s="123"/>
      <c r="AO161" s="123"/>
      <c r="AP161" s="123"/>
      <c r="AQ161" s="123"/>
      <c r="AR161" s="123"/>
      <c r="AS161" s="123"/>
      <c r="AT161" s="123"/>
      <c r="AU161" s="123"/>
      <c r="AV161" s="123"/>
      <c r="AW161" s="124"/>
      <c r="AX161" s="124"/>
      <c r="AY161" s="124" t="str">
        <f>IF(AK161="","",ROUND(AL161*40%,2))</f>
        <v/>
      </c>
      <c r="AZ161" s="124"/>
      <c r="BA161" s="21"/>
      <c r="BB161" s="21"/>
      <c r="BC161" s="21"/>
      <c r="BD161" s="21"/>
      <c r="BE161" s="21"/>
      <c r="BF161" s="21"/>
      <c r="BG161" s="21"/>
      <c r="BH161" s="21"/>
      <c r="BI161" s="21"/>
      <c r="BJ161" s="21"/>
    </row>
    <row r="162" spans="1:62" ht="14" x14ac:dyDescent="0.15">
      <c r="A162" s="17">
        <v>158</v>
      </c>
      <c r="B162" s="16" t="s">
        <v>789</v>
      </c>
      <c r="C162" s="15">
        <v>52256985</v>
      </c>
      <c r="D162" s="112">
        <v>45124</v>
      </c>
      <c r="E162" s="21" t="s">
        <v>480</v>
      </c>
      <c r="F162" s="15">
        <f t="shared" si="23"/>
        <v>52256985</v>
      </c>
      <c r="G162" s="21" t="s">
        <v>62</v>
      </c>
      <c r="H162" s="15">
        <f t="shared" si="33"/>
        <v>0</v>
      </c>
      <c r="I162" s="21" t="s">
        <v>517</v>
      </c>
      <c r="J162" s="21" t="s">
        <v>790</v>
      </c>
      <c r="K162" s="21" t="s">
        <v>791</v>
      </c>
      <c r="L162" s="112">
        <v>45124</v>
      </c>
      <c r="M162" s="127">
        <v>9822</v>
      </c>
      <c r="N162" s="114">
        <v>44567</v>
      </c>
      <c r="O162" s="115" t="s">
        <v>66</v>
      </c>
      <c r="P162" s="115" t="s">
        <v>767</v>
      </c>
      <c r="Q162" s="122" t="s">
        <v>730</v>
      </c>
      <c r="R162" s="116" t="s">
        <v>649</v>
      </c>
      <c r="S162" s="115" t="s">
        <v>69</v>
      </c>
      <c r="T162" s="117" t="s">
        <v>429</v>
      </c>
      <c r="U162" s="117" t="s">
        <v>124</v>
      </c>
      <c r="V162" s="118">
        <v>0</v>
      </c>
      <c r="W162" s="118">
        <v>0</v>
      </c>
      <c r="X162" s="118" t="s">
        <v>125</v>
      </c>
      <c r="Y162" s="118">
        <f>+V162</f>
        <v>0</v>
      </c>
      <c r="Z162" s="118" t="s">
        <v>143</v>
      </c>
      <c r="AA162" s="118">
        <v>0</v>
      </c>
      <c r="AB162" s="119" t="s">
        <v>125</v>
      </c>
      <c r="AC162" s="120"/>
      <c r="AD162" s="121"/>
      <c r="AE162" s="122" t="s">
        <v>1159</v>
      </c>
      <c r="AF162" s="126"/>
      <c r="AG162" s="114"/>
      <c r="AH162" s="21"/>
      <c r="AI162" s="21"/>
      <c r="AJ162" s="21"/>
      <c r="AK162" s="118"/>
      <c r="AL162" s="118"/>
      <c r="AM162" s="123"/>
      <c r="AN162" s="123"/>
      <c r="AO162" s="123"/>
      <c r="AP162" s="123"/>
      <c r="AQ162" s="123"/>
      <c r="AR162" s="123"/>
      <c r="AS162" s="123"/>
      <c r="AT162" s="123"/>
      <c r="AU162" s="123"/>
      <c r="AV162" s="123"/>
      <c r="AW162" s="124"/>
      <c r="AX162" s="124"/>
      <c r="AY162" s="124" t="str">
        <f>IF(AK162="","",ROUND(AL162*40%,2))</f>
        <v/>
      </c>
      <c r="AZ162" s="124">
        <v>0</v>
      </c>
      <c r="BA162" s="21"/>
      <c r="BB162" s="21"/>
      <c r="BC162" s="21"/>
      <c r="BD162" s="21"/>
      <c r="BE162" s="21"/>
      <c r="BF162" s="21"/>
      <c r="BG162" s="21"/>
      <c r="BH162" s="21"/>
      <c r="BI162" s="21"/>
      <c r="BJ162" s="21"/>
    </row>
    <row r="163" spans="1:62" ht="14" x14ac:dyDescent="0.15">
      <c r="A163" s="17">
        <v>159</v>
      </c>
      <c r="B163" s="16" t="s">
        <v>787</v>
      </c>
      <c r="C163" s="15">
        <v>120159995</v>
      </c>
      <c r="D163" s="112">
        <v>45131</v>
      </c>
      <c r="E163" s="21" t="s">
        <v>480</v>
      </c>
      <c r="F163" s="15">
        <f t="shared" ref="F163:F186" si="34">C163</f>
        <v>120159995</v>
      </c>
      <c r="G163" s="21" t="s">
        <v>62</v>
      </c>
      <c r="H163" s="15">
        <f t="shared" si="33"/>
        <v>0</v>
      </c>
      <c r="I163" s="21" t="s">
        <v>485</v>
      </c>
      <c r="J163" s="21" t="s">
        <v>87</v>
      </c>
      <c r="K163" s="21" t="s">
        <v>792</v>
      </c>
      <c r="L163" s="112">
        <v>45126</v>
      </c>
      <c r="M163" s="127">
        <v>9822</v>
      </c>
      <c r="N163" s="114">
        <v>44567</v>
      </c>
      <c r="O163" s="115" t="s">
        <v>66</v>
      </c>
      <c r="P163" s="115" t="s">
        <v>767</v>
      </c>
      <c r="Q163" s="122" t="s">
        <v>730</v>
      </c>
      <c r="R163" s="116" t="s">
        <v>598</v>
      </c>
      <c r="S163" s="115" t="s">
        <v>69</v>
      </c>
      <c r="T163" s="117">
        <v>45132</v>
      </c>
      <c r="U163" s="117"/>
      <c r="V163" s="118">
        <v>120159995</v>
      </c>
      <c r="W163" s="118"/>
      <c r="X163" s="118" t="s">
        <v>1154</v>
      </c>
      <c r="Y163" s="118">
        <f>+V163</f>
        <v>120159995</v>
      </c>
      <c r="Z163" s="118" t="s">
        <v>70</v>
      </c>
      <c r="AA163" s="118"/>
      <c r="AB163" s="119" t="s">
        <v>599</v>
      </c>
      <c r="AC163" s="117">
        <v>45132</v>
      </c>
      <c r="AD163" s="121">
        <v>901684711</v>
      </c>
      <c r="AE163" s="122" t="s">
        <v>1318</v>
      </c>
      <c r="AF163" s="126"/>
      <c r="AG163" s="114">
        <v>45425</v>
      </c>
      <c r="AH163" s="21"/>
      <c r="AI163" s="21" t="s">
        <v>793</v>
      </c>
      <c r="AJ163" s="21"/>
      <c r="AK163" s="118">
        <v>0</v>
      </c>
      <c r="AL163" s="118">
        <v>120159995</v>
      </c>
      <c r="AM163" s="123"/>
      <c r="AN163" s="123"/>
      <c r="AO163" s="123"/>
      <c r="AP163" s="123"/>
      <c r="AQ163" s="123"/>
      <c r="AR163" s="123"/>
      <c r="AS163" s="123"/>
      <c r="AT163" s="123"/>
      <c r="AU163" s="123"/>
      <c r="AV163" s="123"/>
      <c r="AW163" s="124"/>
      <c r="AX163" s="124">
        <f>IF(AK163="","",ROUND(AL163*0%,2))</f>
        <v>0</v>
      </c>
      <c r="AY163" s="124">
        <f>IF(AK163="","",ROUND(AL163*100%,2))</f>
        <v>120159995</v>
      </c>
      <c r="AZ163" s="124">
        <f>IF(AK163="","",ROUND(AL163*0%,2))</f>
        <v>0</v>
      </c>
      <c r="BA163" s="21" t="s">
        <v>299</v>
      </c>
      <c r="BB163" s="21"/>
      <c r="BC163" s="21"/>
      <c r="BD163" s="21"/>
      <c r="BE163" s="21"/>
      <c r="BF163" s="21"/>
      <c r="BG163" s="21"/>
      <c r="BH163" s="21"/>
      <c r="BI163" s="21"/>
      <c r="BJ163" s="21"/>
    </row>
    <row r="164" spans="1:62" ht="14" x14ac:dyDescent="0.15">
      <c r="A164" s="17">
        <v>160</v>
      </c>
      <c r="B164" s="16" t="s">
        <v>789</v>
      </c>
      <c r="C164" s="15">
        <v>52256985</v>
      </c>
      <c r="D164" s="112">
        <v>45131</v>
      </c>
      <c r="E164" s="21" t="s">
        <v>480</v>
      </c>
      <c r="F164" s="15">
        <f t="shared" si="34"/>
        <v>52256985</v>
      </c>
      <c r="G164" s="21" t="s">
        <v>62</v>
      </c>
      <c r="H164" s="15">
        <f t="shared" si="33"/>
        <v>0</v>
      </c>
      <c r="I164" s="21" t="s">
        <v>517</v>
      </c>
      <c r="J164" s="21" t="s">
        <v>790</v>
      </c>
      <c r="K164" s="21" t="s">
        <v>791</v>
      </c>
      <c r="L164" s="112">
        <v>45126</v>
      </c>
      <c r="M164" s="127">
        <v>9822</v>
      </c>
      <c r="N164" s="114">
        <v>44567</v>
      </c>
      <c r="O164" s="115" t="s">
        <v>66</v>
      </c>
      <c r="P164" s="115" t="s">
        <v>767</v>
      </c>
      <c r="Q164" s="122" t="s">
        <v>730</v>
      </c>
      <c r="R164" s="116" t="s">
        <v>649</v>
      </c>
      <c r="S164" s="115" t="s">
        <v>69</v>
      </c>
      <c r="T164" s="117">
        <v>45132</v>
      </c>
      <c r="U164" s="117"/>
      <c r="V164" s="118">
        <v>52256985</v>
      </c>
      <c r="W164" s="118"/>
      <c r="X164" s="118" t="s">
        <v>1154</v>
      </c>
      <c r="Y164" s="118">
        <f>+V164</f>
        <v>52256985</v>
      </c>
      <c r="Z164" s="125" t="s">
        <v>79</v>
      </c>
      <c r="AA164" s="118">
        <v>0</v>
      </c>
      <c r="AB164" s="119" t="s">
        <v>650</v>
      </c>
      <c r="AC164" s="120">
        <v>45132</v>
      </c>
      <c r="AD164" s="121">
        <v>901674566</v>
      </c>
      <c r="AE164" s="122" t="s">
        <v>1328</v>
      </c>
      <c r="AF164" s="126"/>
      <c r="AG164" s="114"/>
      <c r="AH164" s="21"/>
      <c r="AI164" s="21"/>
      <c r="AJ164" s="21"/>
      <c r="AK164" s="118">
        <v>0</v>
      </c>
      <c r="AL164" s="118">
        <f>IF(AK164="","",V164-AK164)</f>
        <v>52256985</v>
      </c>
      <c r="AM164" s="123"/>
      <c r="AN164" s="123"/>
      <c r="AO164" s="123"/>
      <c r="AP164" s="123"/>
      <c r="AQ164" s="123"/>
      <c r="AR164" s="123"/>
      <c r="AS164" s="123"/>
      <c r="AT164" s="123"/>
      <c r="AU164" s="123"/>
      <c r="AV164" s="123">
        <v>0.1</v>
      </c>
      <c r="AW164" s="124"/>
      <c r="AX164" s="124">
        <f>IF(AK164="","",ROUND(AL164*0%,2))</f>
        <v>0</v>
      </c>
      <c r="AY164" s="124">
        <f>IF(AK164="","",ROUND(AL164*100%,2))</f>
        <v>52256985</v>
      </c>
      <c r="AZ164" s="124">
        <f>IF(AK164="","",ROUND(AL164*0%,2))</f>
        <v>0</v>
      </c>
      <c r="BA164" s="21" t="s">
        <v>99</v>
      </c>
      <c r="BB164" s="21"/>
      <c r="BC164" s="21"/>
      <c r="BD164" s="21"/>
      <c r="BE164" s="21"/>
      <c r="BF164" s="21"/>
      <c r="BG164" s="21"/>
      <c r="BH164" s="21"/>
      <c r="BI164" s="21"/>
      <c r="BJ164" s="21"/>
    </row>
    <row r="165" spans="1:62" ht="14" x14ac:dyDescent="0.15">
      <c r="A165" s="17">
        <v>161</v>
      </c>
      <c r="B165" s="16" t="s">
        <v>794</v>
      </c>
      <c r="C165" s="15">
        <v>18508930.129999999</v>
      </c>
      <c r="D165" s="112">
        <v>45132</v>
      </c>
      <c r="E165" s="21" t="s">
        <v>61</v>
      </c>
      <c r="F165" s="15">
        <f t="shared" si="34"/>
        <v>18508930.129999999</v>
      </c>
      <c r="G165" s="21" t="s">
        <v>62</v>
      </c>
      <c r="H165" s="15">
        <f t="shared" si="33"/>
        <v>0</v>
      </c>
      <c r="I165" s="21" t="s">
        <v>171</v>
      </c>
      <c r="J165" s="21" t="s">
        <v>172</v>
      </c>
      <c r="K165" s="21" t="s">
        <v>795</v>
      </c>
      <c r="L165" s="112">
        <v>45131</v>
      </c>
      <c r="M165" s="127">
        <v>9822</v>
      </c>
      <c r="N165" s="114">
        <v>44567</v>
      </c>
      <c r="O165" s="115" t="s">
        <v>66</v>
      </c>
      <c r="P165" s="115" t="s">
        <v>767</v>
      </c>
      <c r="Q165" s="122" t="s">
        <v>730</v>
      </c>
      <c r="R165" s="116" t="s">
        <v>541</v>
      </c>
      <c r="S165" s="115" t="s">
        <v>69</v>
      </c>
      <c r="T165" s="117"/>
      <c r="U165" s="117"/>
      <c r="V165" s="118">
        <v>18508930.129999999</v>
      </c>
      <c r="W165" s="118"/>
      <c r="X165" s="118" t="s">
        <v>1154</v>
      </c>
      <c r="Y165" s="118">
        <f>+V165</f>
        <v>18508930.129999999</v>
      </c>
      <c r="Z165" s="125" t="s">
        <v>79</v>
      </c>
      <c r="AA165" s="118">
        <v>236914.31</v>
      </c>
      <c r="AB165" s="119" t="s">
        <v>542</v>
      </c>
      <c r="AC165" s="120"/>
      <c r="AD165" s="121">
        <v>901587675</v>
      </c>
      <c r="AE165" s="122" t="s">
        <v>1312</v>
      </c>
      <c r="AF165" s="126"/>
      <c r="AG165" s="114">
        <v>45260</v>
      </c>
      <c r="AH165" s="21" t="s">
        <v>796</v>
      </c>
      <c r="AI165" s="21" t="s">
        <v>683</v>
      </c>
      <c r="AJ165" s="21"/>
      <c r="AK165" s="118">
        <v>0</v>
      </c>
      <c r="AL165" s="118">
        <f>IF(AK165="","",V165-AK165)</f>
        <v>18508930.129999999</v>
      </c>
      <c r="AM165" s="123"/>
      <c r="AN165" s="123"/>
      <c r="AO165" s="123"/>
      <c r="AP165" s="123"/>
      <c r="AQ165" s="123"/>
      <c r="AR165" s="123"/>
      <c r="AS165" s="123"/>
      <c r="AT165" s="123"/>
      <c r="AU165" s="123"/>
      <c r="AV165" s="123">
        <v>0.1</v>
      </c>
      <c r="AW165" s="124"/>
      <c r="AX165" s="124">
        <f>IF(AK165="","",ROUND(AL165/(36/30)*90%,0))</f>
        <v>13881698</v>
      </c>
      <c r="AY165" s="124"/>
      <c r="AZ165" s="124">
        <f>IF(AK165="","",ROUND(AL165*10%,2))</f>
        <v>1850893.01</v>
      </c>
      <c r="BA165" s="21"/>
      <c r="BB165" s="21"/>
      <c r="BC165" s="21"/>
      <c r="BD165" s="21"/>
      <c r="BE165" s="21"/>
      <c r="BF165" s="21"/>
      <c r="BG165" s="21"/>
      <c r="BH165" s="21"/>
      <c r="BI165" s="21"/>
      <c r="BJ165" s="21"/>
    </row>
    <row r="166" spans="1:62" ht="14" x14ac:dyDescent="0.15">
      <c r="A166" s="17">
        <v>162</v>
      </c>
      <c r="B166" s="16" t="s">
        <v>797</v>
      </c>
      <c r="C166" s="15">
        <v>143932885.94999999</v>
      </c>
      <c r="D166" s="112">
        <v>45132</v>
      </c>
      <c r="E166" s="21" t="s">
        <v>61</v>
      </c>
      <c r="F166" s="15">
        <f t="shared" si="34"/>
        <v>143932885.94999999</v>
      </c>
      <c r="G166" s="21" t="s">
        <v>62</v>
      </c>
      <c r="H166" s="15">
        <f t="shared" si="33"/>
        <v>0</v>
      </c>
      <c r="I166" s="21" t="s">
        <v>363</v>
      </c>
      <c r="J166" s="21" t="s">
        <v>253</v>
      </c>
      <c r="K166" s="21" t="s">
        <v>798</v>
      </c>
      <c r="L166" s="112">
        <v>45131</v>
      </c>
      <c r="M166" s="127">
        <v>176921</v>
      </c>
      <c r="N166" s="114">
        <v>44477</v>
      </c>
      <c r="O166" s="115" t="s">
        <v>66</v>
      </c>
      <c r="P166" s="115" t="s">
        <v>767</v>
      </c>
      <c r="Q166" s="122" t="s">
        <v>730</v>
      </c>
      <c r="R166" s="116" t="s">
        <v>364</v>
      </c>
      <c r="S166" s="115" t="s">
        <v>69</v>
      </c>
      <c r="T166" s="117">
        <v>45132</v>
      </c>
      <c r="U166" s="117"/>
      <c r="V166" s="118">
        <v>143932885.94999999</v>
      </c>
      <c r="W166" s="118"/>
      <c r="X166" s="118" t="s">
        <v>1154</v>
      </c>
      <c r="Y166" s="118">
        <f>+V166</f>
        <v>143932885.94999999</v>
      </c>
      <c r="Z166" s="118" t="s">
        <v>70</v>
      </c>
      <c r="AA166" s="118"/>
      <c r="AB166" s="119" t="s">
        <v>365</v>
      </c>
      <c r="AC166" s="120">
        <v>45132</v>
      </c>
      <c r="AD166" s="121">
        <v>87069865</v>
      </c>
      <c r="AE166" s="122" t="s">
        <v>1268</v>
      </c>
      <c r="AF166" s="126"/>
      <c r="AG166" s="114">
        <v>45200</v>
      </c>
      <c r="AH166" s="21" t="s">
        <v>683</v>
      </c>
      <c r="AI166" s="21"/>
      <c r="AJ166" s="21"/>
      <c r="AK166" s="118">
        <v>0</v>
      </c>
      <c r="AL166" s="118">
        <f>IF(AK166="","",V166-AK166)</f>
        <v>143932885.94999999</v>
      </c>
      <c r="AM166" s="123"/>
      <c r="AN166" s="123"/>
      <c r="AO166" s="123"/>
      <c r="AP166" s="123"/>
      <c r="AQ166" s="123"/>
      <c r="AR166" s="123"/>
      <c r="AS166" s="123"/>
      <c r="AT166" s="123"/>
      <c r="AU166" s="123"/>
      <c r="AV166" s="123"/>
      <c r="AW166" s="124"/>
      <c r="AX166" s="124">
        <f>IF(AK166="","",ROUND(AL166/INT(LEFT(AH166,FIND("m",AH166)-1))*50%,2))</f>
        <v>35983221.490000002</v>
      </c>
      <c r="AY166" s="124">
        <f>IF(AK166="","",ROUND(AL166*40%,2))</f>
        <v>57573154.380000003</v>
      </c>
      <c r="AZ166" s="124">
        <f>IF(AK166="","",ROUND(AL166*10%,2))</f>
        <v>14393288.6</v>
      </c>
      <c r="BA166" s="21" t="s">
        <v>83</v>
      </c>
      <c r="BB166" s="21"/>
      <c r="BC166" s="21"/>
      <c r="BD166" s="21"/>
      <c r="BE166" s="21"/>
      <c r="BF166" s="21"/>
      <c r="BG166" s="21"/>
      <c r="BH166" s="21"/>
      <c r="BI166" s="21"/>
      <c r="BJ166" s="21"/>
    </row>
    <row r="167" spans="1:62" ht="14" x14ac:dyDescent="0.15">
      <c r="A167" s="17">
        <v>163</v>
      </c>
      <c r="B167" s="16" t="s">
        <v>799</v>
      </c>
      <c r="C167" s="15">
        <v>289633430</v>
      </c>
      <c r="D167" s="112">
        <v>45133</v>
      </c>
      <c r="E167" s="21" t="s">
        <v>61</v>
      </c>
      <c r="F167" s="15">
        <f t="shared" si="34"/>
        <v>289633430</v>
      </c>
      <c r="G167" s="21" t="s">
        <v>62</v>
      </c>
      <c r="H167" s="15">
        <f t="shared" si="33"/>
        <v>0</v>
      </c>
      <c r="I167" s="21" t="s">
        <v>800</v>
      </c>
      <c r="J167" s="21" t="s">
        <v>160</v>
      </c>
      <c r="K167" s="21" t="s">
        <v>618</v>
      </c>
      <c r="L167" s="112">
        <v>45133</v>
      </c>
      <c r="M167" s="127">
        <v>176921</v>
      </c>
      <c r="N167" s="114">
        <v>44477</v>
      </c>
      <c r="O167" s="115" t="s">
        <v>66</v>
      </c>
      <c r="P167" s="115" t="s">
        <v>767</v>
      </c>
      <c r="Q167" s="122" t="s">
        <v>730</v>
      </c>
      <c r="R167" s="116" t="s">
        <v>801</v>
      </c>
      <c r="S167" s="115" t="s">
        <v>69</v>
      </c>
      <c r="T167" s="117">
        <v>45190</v>
      </c>
      <c r="U167" s="117"/>
      <c r="V167" s="118">
        <v>272986000</v>
      </c>
      <c r="W167" s="118">
        <f>+V167</f>
        <v>272986000</v>
      </c>
      <c r="X167" s="118" t="s">
        <v>1154</v>
      </c>
      <c r="Y167" s="118"/>
      <c r="Z167" s="118" t="s">
        <v>70</v>
      </c>
      <c r="AA167" s="118"/>
      <c r="AB167" s="119" t="s">
        <v>802</v>
      </c>
      <c r="AC167" s="120" t="s">
        <v>803</v>
      </c>
      <c r="AD167" s="121">
        <v>900353973</v>
      </c>
      <c r="AE167" s="122" t="s">
        <v>1341</v>
      </c>
      <c r="AF167" s="126">
        <v>45238</v>
      </c>
      <c r="AG167" s="126">
        <v>45512</v>
      </c>
      <c r="AH167" s="21" t="s">
        <v>399</v>
      </c>
      <c r="AI167" s="21"/>
      <c r="AJ167" s="21"/>
      <c r="AK167" s="118">
        <v>41650000</v>
      </c>
      <c r="AL167" s="118">
        <v>231336000</v>
      </c>
      <c r="AM167" s="123"/>
      <c r="AN167" s="123"/>
      <c r="AO167" s="123"/>
      <c r="AP167" s="123"/>
      <c r="AQ167" s="123"/>
      <c r="AR167" s="123"/>
      <c r="AS167" s="123"/>
      <c r="AT167" s="123"/>
      <c r="AU167" s="123"/>
      <c r="AV167" s="123"/>
      <c r="AW167" s="124">
        <f>+AK167</f>
        <v>41650000</v>
      </c>
      <c r="AX167" s="124">
        <f>IF(AK167="","",ROUND(AL167/INT(LEFT(AH167,FIND("m",AH167)-1))*50%,2))</f>
        <v>16524000</v>
      </c>
      <c r="AY167" s="124">
        <f>IF(AK167="","",ROUND(AL167*40%,2))</f>
        <v>92534400</v>
      </c>
      <c r="AZ167" s="124">
        <f>IF(AK167="","",ROUND(AL167*10%,2))</f>
        <v>23133600</v>
      </c>
      <c r="BA167" s="21" t="s">
        <v>117</v>
      </c>
      <c r="BB167" s="21"/>
      <c r="BC167" s="21"/>
      <c r="BD167" s="21"/>
      <c r="BE167" s="21"/>
      <c r="BF167" s="21"/>
      <c r="BG167" s="21"/>
      <c r="BH167" s="21"/>
      <c r="BI167" s="21"/>
      <c r="BJ167" s="21"/>
    </row>
    <row r="168" spans="1:62" ht="14" x14ac:dyDescent="0.15">
      <c r="A168" s="17">
        <v>164</v>
      </c>
      <c r="B168" s="16" t="s">
        <v>804</v>
      </c>
      <c r="C168" s="15">
        <v>246134850</v>
      </c>
      <c r="D168" s="112">
        <v>45133</v>
      </c>
      <c r="E168" s="21" t="s">
        <v>735</v>
      </c>
      <c r="F168" s="15">
        <f t="shared" si="34"/>
        <v>246134850</v>
      </c>
      <c r="G168" s="21" t="s">
        <v>62</v>
      </c>
      <c r="H168" s="15">
        <f t="shared" si="33"/>
        <v>0</v>
      </c>
      <c r="I168" s="21" t="s">
        <v>227</v>
      </c>
      <c r="J168" s="21" t="s">
        <v>172</v>
      </c>
      <c r="K168" s="21" t="s">
        <v>618</v>
      </c>
      <c r="L168" s="112">
        <v>45133</v>
      </c>
      <c r="M168" s="127">
        <v>176921</v>
      </c>
      <c r="N168" s="114">
        <v>44477</v>
      </c>
      <c r="O168" s="115" t="s">
        <v>66</v>
      </c>
      <c r="P168" s="115" t="s">
        <v>767</v>
      </c>
      <c r="Q168" s="122" t="s">
        <v>730</v>
      </c>
      <c r="R168" s="116" t="s">
        <v>805</v>
      </c>
      <c r="S168" s="115" t="s">
        <v>69</v>
      </c>
      <c r="T168" s="117">
        <v>45205</v>
      </c>
      <c r="U168" s="117"/>
      <c r="V168" s="118">
        <v>231120625</v>
      </c>
      <c r="W168" s="118">
        <f>+V168</f>
        <v>231120625</v>
      </c>
      <c r="X168" s="118" t="s">
        <v>1154</v>
      </c>
      <c r="Y168" s="118"/>
      <c r="Z168" s="118" t="s">
        <v>70</v>
      </c>
      <c r="AA168" s="118"/>
      <c r="AB168" s="119" t="s">
        <v>806</v>
      </c>
      <c r="AC168" s="120">
        <v>45205</v>
      </c>
      <c r="AD168" s="121">
        <v>10549160</v>
      </c>
      <c r="AE168" s="122" t="s">
        <v>1327</v>
      </c>
      <c r="AF168" s="126"/>
      <c r="AG168" s="114">
        <v>45594</v>
      </c>
      <c r="AH168" s="21" t="s">
        <v>807</v>
      </c>
      <c r="AI168" s="21"/>
      <c r="AJ168" s="21"/>
      <c r="AK168" s="118">
        <v>32820079</v>
      </c>
      <c r="AL168" s="118">
        <f>IF(AK168="","",V168-AK168)</f>
        <v>198300546</v>
      </c>
      <c r="AM168" s="123"/>
      <c r="AN168" s="123"/>
      <c r="AO168" s="123"/>
      <c r="AP168" s="123"/>
      <c r="AQ168" s="123"/>
      <c r="AR168" s="123"/>
      <c r="AS168" s="123"/>
      <c r="AT168" s="123"/>
      <c r="AU168" s="123"/>
      <c r="AV168" s="123">
        <v>0.1</v>
      </c>
      <c r="AW168" s="124">
        <f>+AK168</f>
        <v>32820079</v>
      </c>
      <c r="AX168" s="124">
        <f>IF(AK168="","",ROUND(AL168*50%,2))</f>
        <v>99150273</v>
      </c>
      <c r="AY168" s="124">
        <f>IF(AK168="","",ROUND(AL168*40%,2))</f>
        <v>79320218.400000006</v>
      </c>
      <c r="AZ168" s="124">
        <f t="shared" ref="AZ168:AZ175" si="35">IF(AK168="","",ROUND(AL168*10%,2))</f>
        <v>19830054.600000001</v>
      </c>
      <c r="BA168" s="21"/>
      <c r="BB168" s="21"/>
      <c r="BC168" s="21"/>
      <c r="BD168" s="21"/>
      <c r="BE168" s="21"/>
      <c r="BF168" s="21"/>
      <c r="BG168" s="21"/>
      <c r="BH168" s="21"/>
      <c r="BI168" s="21"/>
      <c r="BJ168" s="21"/>
    </row>
    <row r="169" spans="1:62" ht="14" x14ac:dyDescent="0.15">
      <c r="A169" s="17">
        <v>165</v>
      </c>
      <c r="B169" s="16" t="s">
        <v>808</v>
      </c>
      <c r="C169" s="15">
        <v>294389100</v>
      </c>
      <c r="D169" s="112">
        <v>45133</v>
      </c>
      <c r="E169" s="21" t="s">
        <v>735</v>
      </c>
      <c r="F169" s="15">
        <f t="shared" si="34"/>
        <v>294389100</v>
      </c>
      <c r="G169" s="21" t="s">
        <v>62</v>
      </c>
      <c r="H169" s="15">
        <f t="shared" si="33"/>
        <v>0</v>
      </c>
      <c r="I169" s="21" t="s">
        <v>401</v>
      </c>
      <c r="J169" s="21" t="s">
        <v>172</v>
      </c>
      <c r="K169" s="21" t="s">
        <v>618</v>
      </c>
      <c r="L169" s="112">
        <v>45133</v>
      </c>
      <c r="M169" s="127">
        <v>176921</v>
      </c>
      <c r="N169" s="114">
        <v>44477</v>
      </c>
      <c r="O169" s="115" t="s">
        <v>66</v>
      </c>
      <c r="P169" s="115" t="s">
        <v>767</v>
      </c>
      <c r="Q169" s="122" t="s">
        <v>730</v>
      </c>
      <c r="R169" s="116" t="s">
        <v>809</v>
      </c>
      <c r="S169" s="115" t="s">
        <v>69</v>
      </c>
      <c r="T169" s="117">
        <v>45237</v>
      </c>
      <c r="U169" s="117"/>
      <c r="V169" s="118">
        <v>276711081</v>
      </c>
      <c r="W169" s="118">
        <f>+V169</f>
        <v>276711081</v>
      </c>
      <c r="X169" s="118" t="s">
        <v>1154</v>
      </c>
      <c r="Y169" s="118"/>
      <c r="Z169" s="118" t="s">
        <v>70</v>
      </c>
      <c r="AA169" s="118"/>
      <c r="AB169" s="119" t="s">
        <v>810</v>
      </c>
      <c r="AC169" s="120">
        <v>45237</v>
      </c>
      <c r="AD169" s="121">
        <v>900506471</v>
      </c>
      <c r="AE169" s="122" t="s">
        <v>1342</v>
      </c>
      <c r="AF169" s="126"/>
      <c r="AG169" s="114"/>
      <c r="AH169" s="21" t="s">
        <v>399</v>
      </c>
      <c r="AI169" s="21"/>
      <c r="AJ169" s="21"/>
      <c r="AK169" s="118">
        <v>32820581</v>
      </c>
      <c r="AL169" s="118">
        <f>IF(AK169="","",V169-AK169)</f>
        <v>243890500</v>
      </c>
      <c r="AM169" s="123"/>
      <c r="AN169" s="123"/>
      <c r="AO169" s="123"/>
      <c r="AP169" s="123"/>
      <c r="AQ169" s="123"/>
      <c r="AR169" s="123"/>
      <c r="AS169" s="123"/>
      <c r="AT169" s="123"/>
      <c r="AU169" s="123"/>
      <c r="AV169" s="123">
        <v>0.1</v>
      </c>
      <c r="AW169" s="124">
        <f>+AK169</f>
        <v>32820581</v>
      </c>
      <c r="AX169" s="124">
        <f>IF(AK169="","",ROUND(AL169*50%,2))</f>
        <v>121945250</v>
      </c>
      <c r="AY169" s="124">
        <f>IF(AK169="","",ROUND(AL169*40%,2))</f>
        <v>97556200</v>
      </c>
      <c r="AZ169" s="124">
        <f t="shared" si="35"/>
        <v>24389050</v>
      </c>
      <c r="BA169" s="21"/>
      <c r="BB169" s="21"/>
      <c r="BC169" s="21"/>
      <c r="BD169" s="21"/>
      <c r="BE169" s="21"/>
      <c r="BF169" s="21"/>
      <c r="BG169" s="21"/>
      <c r="BH169" s="21"/>
      <c r="BI169" s="21"/>
      <c r="BJ169" s="21"/>
    </row>
    <row r="170" spans="1:62" ht="14" x14ac:dyDescent="0.15">
      <c r="A170" s="17">
        <v>166</v>
      </c>
      <c r="B170" s="16" t="s">
        <v>760</v>
      </c>
      <c r="C170" s="15">
        <v>15757086.5</v>
      </c>
      <c r="D170" s="112">
        <v>45139</v>
      </c>
      <c r="E170" s="21" t="s">
        <v>61</v>
      </c>
      <c r="F170" s="15">
        <f t="shared" si="34"/>
        <v>15757086.5</v>
      </c>
      <c r="G170" s="21" t="s">
        <v>62</v>
      </c>
      <c r="H170" s="15">
        <f t="shared" si="33"/>
        <v>0</v>
      </c>
      <c r="I170" s="21" t="s">
        <v>431</v>
      </c>
      <c r="J170" s="21" t="s">
        <v>160</v>
      </c>
      <c r="K170" s="21" t="s">
        <v>811</v>
      </c>
      <c r="L170" s="112">
        <v>45138</v>
      </c>
      <c r="M170" s="127">
        <v>188021</v>
      </c>
      <c r="N170" s="114">
        <v>44550</v>
      </c>
      <c r="O170" s="115" t="s">
        <v>66</v>
      </c>
      <c r="P170" s="115" t="s">
        <v>767</v>
      </c>
      <c r="Q170" s="122" t="s">
        <v>730</v>
      </c>
      <c r="R170" s="116" t="s">
        <v>432</v>
      </c>
      <c r="S170" s="115" t="s">
        <v>69</v>
      </c>
      <c r="T170" s="117"/>
      <c r="U170" s="117"/>
      <c r="V170" s="118">
        <v>15757086.5</v>
      </c>
      <c r="W170" s="118"/>
      <c r="X170" s="118" t="s">
        <v>1154</v>
      </c>
      <c r="Y170" s="118">
        <f>+V170</f>
        <v>15757086.5</v>
      </c>
      <c r="Z170" s="118" t="s">
        <v>79</v>
      </c>
      <c r="AA170" s="118">
        <v>0</v>
      </c>
      <c r="AB170" s="119" t="s">
        <v>433</v>
      </c>
      <c r="AC170" s="120"/>
      <c r="AD170" s="121">
        <v>8746699</v>
      </c>
      <c r="AE170" s="122" t="s">
        <v>1282</v>
      </c>
      <c r="AF170" s="126"/>
      <c r="AG170" s="114">
        <v>45421</v>
      </c>
      <c r="AH170" s="21" t="s">
        <v>812</v>
      </c>
      <c r="AI170" s="21" t="s">
        <v>813</v>
      </c>
      <c r="AJ170" s="21"/>
      <c r="AK170" s="118">
        <v>0</v>
      </c>
      <c r="AL170" s="118">
        <v>15757086.5</v>
      </c>
      <c r="AM170" s="123"/>
      <c r="AN170" s="123"/>
      <c r="AO170" s="123"/>
      <c r="AP170" s="123"/>
      <c r="AQ170" s="123"/>
      <c r="AR170" s="123"/>
      <c r="AS170" s="123"/>
      <c r="AT170" s="123"/>
      <c r="AU170" s="123"/>
      <c r="AV170" s="123"/>
      <c r="AW170" s="124"/>
      <c r="AX170" s="124">
        <f>AL170*18/30*90%</f>
        <v>8508826.7100000009</v>
      </c>
      <c r="AY170" s="124"/>
      <c r="AZ170" s="124">
        <f t="shared" si="35"/>
        <v>1575708.65</v>
      </c>
      <c r="BA170" s="21"/>
      <c r="BB170" s="21"/>
      <c r="BC170" s="21"/>
      <c r="BD170" s="21"/>
      <c r="BE170" s="21"/>
      <c r="BF170" s="21"/>
      <c r="BG170" s="21"/>
      <c r="BH170" s="21"/>
      <c r="BI170" s="21"/>
      <c r="BJ170" s="21"/>
    </row>
    <row r="171" spans="1:62" ht="14" x14ac:dyDescent="0.15">
      <c r="A171" s="17">
        <v>167</v>
      </c>
      <c r="B171" s="16" t="s">
        <v>728</v>
      </c>
      <c r="C171" s="15">
        <v>75000000</v>
      </c>
      <c r="D171" s="112">
        <v>45139</v>
      </c>
      <c r="E171" s="21" t="s">
        <v>723</v>
      </c>
      <c r="F171" s="15">
        <f t="shared" si="34"/>
        <v>75000000</v>
      </c>
      <c r="G171" s="21" t="s">
        <v>62</v>
      </c>
      <c r="H171" s="15">
        <f t="shared" si="33"/>
        <v>0</v>
      </c>
      <c r="I171" s="21" t="s">
        <v>455</v>
      </c>
      <c r="J171" s="21" t="s">
        <v>102</v>
      </c>
      <c r="K171" s="21" t="s">
        <v>814</v>
      </c>
      <c r="L171" s="112">
        <v>45138</v>
      </c>
      <c r="M171" s="127">
        <v>6230686</v>
      </c>
      <c r="N171" s="114">
        <v>45078</v>
      </c>
      <c r="O171" s="122" t="s">
        <v>725</v>
      </c>
      <c r="P171" s="115" t="s">
        <v>815</v>
      </c>
      <c r="Q171" s="122" t="s">
        <v>816</v>
      </c>
      <c r="R171" s="116" t="s">
        <v>457</v>
      </c>
      <c r="S171" s="115" t="s">
        <v>69</v>
      </c>
      <c r="T171" s="117"/>
      <c r="U171" s="117" t="s">
        <v>124</v>
      </c>
      <c r="V171" s="137">
        <v>75000000</v>
      </c>
      <c r="W171" s="118"/>
      <c r="X171" s="118" t="s">
        <v>1117</v>
      </c>
      <c r="Y171" s="118">
        <v>75000000</v>
      </c>
      <c r="Z171" s="118" t="s">
        <v>70</v>
      </c>
      <c r="AA171" s="118"/>
      <c r="AB171" s="119" t="s">
        <v>458</v>
      </c>
      <c r="AC171" s="120"/>
      <c r="AD171" s="121">
        <v>901588549</v>
      </c>
      <c r="AE171" s="122" t="s">
        <v>1304</v>
      </c>
      <c r="AF171" s="126"/>
      <c r="AG171" s="114">
        <v>45345</v>
      </c>
      <c r="AH171" s="21" t="s">
        <v>748</v>
      </c>
      <c r="AI171" s="21" t="s">
        <v>817</v>
      </c>
      <c r="AJ171" s="21"/>
      <c r="AK171" s="118">
        <v>0</v>
      </c>
      <c r="AL171" s="118">
        <v>75000000</v>
      </c>
      <c r="AM171" s="123"/>
      <c r="AN171" s="123"/>
      <c r="AO171" s="123"/>
      <c r="AP171" s="123"/>
      <c r="AQ171" s="123"/>
      <c r="AR171" s="123"/>
      <c r="AS171" s="123"/>
      <c r="AT171" s="123"/>
      <c r="AU171" s="123"/>
      <c r="AV171" s="123"/>
      <c r="AW171" s="124"/>
      <c r="AX171" s="124">
        <f>IF(AK171="","",ROUND(AL171/INT(LEFT(AH171,FIND("m",AH171)-1))*50%,0))</f>
        <v>12500000</v>
      </c>
      <c r="AY171" s="124">
        <f>IF(AK171="","",ROUND(AL171*40%,2))</f>
        <v>30000000</v>
      </c>
      <c r="AZ171" s="124">
        <f t="shared" si="35"/>
        <v>7500000</v>
      </c>
      <c r="BA171" s="21" t="s">
        <v>117</v>
      </c>
      <c r="BB171" s="21"/>
      <c r="BC171" s="21"/>
      <c r="BD171" s="21"/>
      <c r="BE171" s="21"/>
      <c r="BF171" s="21"/>
      <c r="BG171" s="21"/>
      <c r="BH171" s="21"/>
      <c r="BI171" s="21"/>
      <c r="BJ171" s="21"/>
    </row>
    <row r="172" spans="1:62" ht="14" x14ac:dyDescent="0.15">
      <c r="A172" s="17">
        <v>168</v>
      </c>
      <c r="B172" s="16" t="s">
        <v>818</v>
      </c>
      <c r="C172" s="15">
        <v>48550000</v>
      </c>
      <c r="D172" s="112">
        <v>45149</v>
      </c>
      <c r="E172" s="21" t="s">
        <v>723</v>
      </c>
      <c r="F172" s="15">
        <f t="shared" si="34"/>
        <v>48550000</v>
      </c>
      <c r="G172" s="21" t="s">
        <v>62</v>
      </c>
      <c r="H172" s="15">
        <f t="shared" si="33"/>
        <v>0</v>
      </c>
      <c r="I172" s="21" t="s">
        <v>561</v>
      </c>
      <c r="J172" s="21" t="s">
        <v>417</v>
      </c>
      <c r="K172" s="21" t="s">
        <v>819</v>
      </c>
      <c r="L172" s="112">
        <v>45149</v>
      </c>
      <c r="M172" s="122">
        <v>4748</v>
      </c>
      <c r="N172" s="114">
        <v>44934</v>
      </c>
      <c r="O172" s="122" t="s">
        <v>725</v>
      </c>
      <c r="P172" s="115" t="s">
        <v>726</v>
      </c>
      <c r="Q172" s="21" t="s">
        <v>820</v>
      </c>
      <c r="R172" s="116" t="s">
        <v>419</v>
      </c>
      <c r="S172" s="115" t="s">
        <v>69</v>
      </c>
      <c r="T172" s="117"/>
      <c r="U172" s="117" t="s">
        <v>124</v>
      </c>
      <c r="V172" s="137">
        <f>+F172</f>
        <v>48550000</v>
      </c>
      <c r="W172" s="118"/>
      <c r="X172" s="118" t="s">
        <v>1117</v>
      </c>
      <c r="Y172" s="118">
        <v>48550000</v>
      </c>
      <c r="Z172" s="118" t="s">
        <v>70</v>
      </c>
      <c r="AA172" s="118"/>
      <c r="AB172" s="119" t="s">
        <v>420</v>
      </c>
      <c r="AC172" s="120"/>
      <c r="AD172" s="121">
        <v>890115120</v>
      </c>
      <c r="AE172" s="122" t="s">
        <v>1271</v>
      </c>
      <c r="AF172" s="126"/>
      <c r="AG172" s="114">
        <v>45215</v>
      </c>
      <c r="AH172" s="21" t="s">
        <v>532</v>
      </c>
      <c r="AI172" s="21"/>
      <c r="AJ172" s="21"/>
      <c r="AK172" s="118">
        <v>0</v>
      </c>
      <c r="AL172" s="118">
        <v>48550000</v>
      </c>
      <c r="AM172" s="123"/>
      <c r="AN172" s="123"/>
      <c r="AO172" s="123"/>
      <c r="AP172" s="123"/>
      <c r="AQ172" s="123"/>
      <c r="AR172" s="123"/>
      <c r="AS172" s="123"/>
      <c r="AT172" s="123"/>
      <c r="AU172" s="123"/>
      <c r="AV172" s="123"/>
      <c r="AW172" s="124"/>
      <c r="AX172" s="124">
        <f>+AL172/(45/30)*50%</f>
        <v>16183333.333333334</v>
      </c>
      <c r="AY172" s="124">
        <f>IF(AK172="","",ROUND(AL172*40%,2))</f>
        <v>19420000</v>
      </c>
      <c r="AZ172" s="124">
        <f t="shared" si="35"/>
        <v>4855000</v>
      </c>
      <c r="BA172" s="21"/>
      <c r="BB172" s="21"/>
      <c r="BC172" s="21"/>
      <c r="BD172" s="21"/>
      <c r="BE172" s="21"/>
      <c r="BF172" s="21"/>
      <c r="BG172" s="21"/>
      <c r="BH172" s="21"/>
      <c r="BI172" s="21"/>
      <c r="BJ172" s="21"/>
    </row>
    <row r="173" spans="1:62" ht="14" x14ac:dyDescent="0.15">
      <c r="A173" s="17">
        <v>169</v>
      </c>
      <c r="B173" s="16" t="s">
        <v>821</v>
      </c>
      <c r="C173" s="15">
        <v>54761236</v>
      </c>
      <c r="D173" s="112">
        <v>45156</v>
      </c>
      <c r="E173" s="21" t="s">
        <v>723</v>
      </c>
      <c r="F173" s="15">
        <f t="shared" si="34"/>
        <v>54761236</v>
      </c>
      <c r="G173" s="21" t="s">
        <v>62</v>
      </c>
      <c r="H173" s="15">
        <f t="shared" si="33"/>
        <v>0</v>
      </c>
      <c r="I173" s="21" t="s">
        <v>192</v>
      </c>
      <c r="J173" s="21" t="s">
        <v>176</v>
      </c>
      <c r="K173" s="21" t="s">
        <v>822</v>
      </c>
      <c r="L173" s="112">
        <v>45155</v>
      </c>
      <c r="M173" s="127">
        <v>20230408</v>
      </c>
      <c r="N173" s="114">
        <v>45105</v>
      </c>
      <c r="O173" s="122" t="s">
        <v>725</v>
      </c>
      <c r="P173" s="115" t="s">
        <v>192</v>
      </c>
      <c r="Q173" s="21" t="s">
        <v>823</v>
      </c>
      <c r="R173" s="116" t="s">
        <v>194</v>
      </c>
      <c r="S173" s="115" t="s">
        <v>69</v>
      </c>
      <c r="T173" s="117">
        <v>45156</v>
      </c>
      <c r="U173" s="117" t="s">
        <v>124</v>
      </c>
      <c r="V173" s="137">
        <v>54761236</v>
      </c>
      <c r="W173" s="118"/>
      <c r="X173" s="118" t="s">
        <v>1117</v>
      </c>
      <c r="Y173" s="118">
        <f>+V173</f>
        <v>54761236</v>
      </c>
      <c r="Z173" s="125" t="s">
        <v>79</v>
      </c>
      <c r="AA173" s="118"/>
      <c r="AB173" s="119" t="s">
        <v>195</v>
      </c>
      <c r="AC173" s="120">
        <v>45156</v>
      </c>
      <c r="AD173" s="121">
        <v>901575654</v>
      </c>
      <c r="AE173" s="122" t="s">
        <v>1274</v>
      </c>
      <c r="AF173" s="126"/>
      <c r="AG173" s="114">
        <v>45245</v>
      </c>
      <c r="AH173" s="21" t="s">
        <v>824</v>
      </c>
      <c r="AI173" s="21"/>
      <c r="AJ173" s="21"/>
      <c r="AK173" s="118">
        <v>0</v>
      </c>
      <c r="AL173" s="118">
        <v>54761236</v>
      </c>
      <c r="AM173" s="123"/>
      <c r="AN173" s="123"/>
      <c r="AO173" s="123"/>
      <c r="AP173" s="123"/>
      <c r="AQ173" s="123"/>
      <c r="AR173" s="123"/>
      <c r="AS173" s="123"/>
      <c r="AT173" s="123"/>
      <c r="AU173" s="123"/>
      <c r="AV173" s="123"/>
      <c r="AW173" s="124"/>
      <c r="AX173" s="124">
        <f>IF(AK173="","",ROUND(AL173*50%,0))</f>
        <v>27380618</v>
      </c>
      <c r="AY173" s="124">
        <f>IF(AK173="","",ROUND(AL173*40%,2))</f>
        <v>21904494.399999999</v>
      </c>
      <c r="AZ173" s="124">
        <f t="shared" si="35"/>
        <v>5476123.5999999996</v>
      </c>
      <c r="BA173" s="21"/>
      <c r="BB173" s="21"/>
      <c r="BC173" s="21"/>
      <c r="BD173" s="21"/>
      <c r="BE173" s="21"/>
      <c r="BF173" s="21"/>
      <c r="BG173" s="21"/>
      <c r="BH173" s="21"/>
      <c r="BI173" s="21"/>
      <c r="BJ173" s="21"/>
    </row>
    <row r="174" spans="1:62" ht="14" x14ac:dyDescent="0.15">
      <c r="A174" s="17">
        <v>170</v>
      </c>
      <c r="B174" s="16" t="s">
        <v>825</v>
      </c>
      <c r="C174" s="15">
        <v>24368158</v>
      </c>
      <c r="D174" s="112">
        <v>45160</v>
      </c>
      <c r="E174" s="21" t="s">
        <v>61</v>
      </c>
      <c r="F174" s="15">
        <f t="shared" si="34"/>
        <v>24368158</v>
      </c>
      <c r="G174" s="21" t="s">
        <v>62</v>
      </c>
      <c r="H174" s="15">
        <f t="shared" si="33"/>
        <v>0</v>
      </c>
      <c r="I174" s="21" t="s">
        <v>154</v>
      </c>
      <c r="J174" s="21" t="s">
        <v>141</v>
      </c>
      <c r="K174" s="21" t="s">
        <v>826</v>
      </c>
      <c r="L174" s="112">
        <v>45160</v>
      </c>
      <c r="M174" s="127">
        <v>176921</v>
      </c>
      <c r="N174" s="114">
        <v>44477</v>
      </c>
      <c r="O174" s="115" t="s">
        <v>66</v>
      </c>
      <c r="P174" s="115" t="s">
        <v>767</v>
      </c>
      <c r="Q174" s="122" t="s">
        <v>730</v>
      </c>
      <c r="R174" s="116" t="s">
        <v>155</v>
      </c>
      <c r="S174" s="115" t="s">
        <v>69</v>
      </c>
      <c r="T174" s="117">
        <v>45219</v>
      </c>
      <c r="U174" s="117"/>
      <c r="V174" s="118">
        <v>24368158</v>
      </c>
      <c r="W174" s="118"/>
      <c r="X174" s="118" t="s">
        <v>1154</v>
      </c>
      <c r="Y174" s="118">
        <f>+V174</f>
        <v>24368158</v>
      </c>
      <c r="Z174" s="125" t="s">
        <v>70</v>
      </c>
      <c r="AA174" s="118"/>
      <c r="AB174" s="119" t="s">
        <v>156</v>
      </c>
      <c r="AC174" s="120">
        <v>45219</v>
      </c>
      <c r="AD174" s="121">
        <v>901579530</v>
      </c>
      <c r="AE174" s="122" t="s">
        <v>1269</v>
      </c>
      <c r="AF174" s="126"/>
      <c r="AG174" s="114">
        <v>45312</v>
      </c>
      <c r="AH174" s="21" t="s">
        <v>683</v>
      </c>
      <c r="AI174" s="21"/>
      <c r="AJ174" s="21"/>
      <c r="AK174" s="118">
        <v>0</v>
      </c>
      <c r="AL174" s="118">
        <v>24368158</v>
      </c>
      <c r="AM174" s="123"/>
      <c r="AN174" s="123"/>
      <c r="AO174" s="123"/>
      <c r="AP174" s="123"/>
      <c r="AQ174" s="123"/>
      <c r="AR174" s="123"/>
      <c r="AS174" s="123"/>
      <c r="AT174" s="123"/>
      <c r="AU174" s="123"/>
      <c r="AV174" s="123"/>
      <c r="AW174" s="124"/>
      <c r="AX174" s="124">
        <f>IF(AK174="","",ROUND(AL174/INT(LEFT(AH174,FIND("m",AH174)-1))*50%,0))</f>
        <v>6092040</v>
      </c>
      <c r="AY174" s="124">
        <f>IF(AK174="","",ROUND(AL174*40%,2))</f>
        <v>9747263.1999999993</v>
      </c>
      <c r="AZ174" s="124">
        <f t="shared" si="35"/>
        <v>2436815.7999999998</v>
      </c>
      <c r="BA174" s="21"/>
      <c r="BB174" s="21"/>
      <c r="BC174" s="21"/>
      <c r="BD174" s="21"/>
      <c r="BE174" s="21"/>
      <c r="BF174" s="21"/>
      <c r="BG174" s="21"/>
      <c r="BH174" s="21"/>
      <c r="BI174" s="21"/>
      <c r="BJ174" s="21"/>
    </row>
    <row r="175" spans="1:62" ht="14" x14ac:dyDescent="0.15">
      <c r="A175" s="17">
        <v>171</v>
      </c>
      <c r="B175" s="16" t="s">
        <v>827</v>
      </c>
      <c r="C175" s="15">
        <v>60901485.450000003</v>
      </c>
      <c r="D175" s="112">
        <v>45166</v>
      </c>
      <c r="E175" s="21" t="s">
        <v>723</v>
      </c>
      <c r="F175" s="15">
        <f t="shared" si="34"/>
        <v>60901485.450000003</v>
      </c>
      <c r="G175" s="21" t="s">
        <v>62</v>
      </c>
      <c r="H175" s="15">
        <f t="shared" si="33"/>
        <v>0</v>
      </c>
      <c r="I175" s="21" t="s">
        <v>465</v>
      </c>
      <c r="J175" s="21" t="s">
        <v>136</v>
      </c>
      <c r="K175" s="21" t="s">
        <v>828</v>
      </c>
      <c r="L175" s="112">
        <v>45166</v>
      </c>
      <c r="M175" s="122" t="s">
        <v>829</v>
      </c>
      <c r="N175" s="114">
        <v>45090</v>
      </c>
      <c r="O175" s="122" t="s">
        <v>830</v>
      </c>
      <c r="P175" s="115" t="s">
        <v>465</v>
      </c>
      <c r="Q175" s="21" t="s">
        <v>831</v>
      </c>
      <c r="R175" s="116" t="s">
        <v>467</v>
      </c>
      <c r="S175" s="115" t="s">
        <v>69</v>
      </c>
      <c r="T175" s="117"/>
      <c r="U175" s="117" t="s">
        <v>124</v>
      </c>
      <c r="V175" s="137">
        <f>+F175</f>
        <v>60901485.450000003</v>
      </c>
      <c r="W175" s="118"/>
      <c r="X175" s="118" t="s">
        <v>1117</v>
      </c>
      <c r="Y175" s="118">
        <v>60901485.450000003</v>
      </c>
      <c r="Z175" s="118" t="s">
        <v>79</v>
      </c>
      <c r="AA175" s="118"/>
      <c r="AB175" s="119" t="s">
        <v>468</v>
      </c>
      <c r="AC175" s="120"/>
      <c r="AD175" s="121">
        <v>901588851</v>
      </c>
      <c r="AE175" s="122" t="s">
        <v>1289</v>
      </c>
      <c r="AF175" s="126"/>
      <c r="AG175" s="114">
        <v>45232</v>
      </c>
      <c r="AH175" s="21" t="s">
        <v>683</v>
      </c>
      <c r="AI175" s="21"/>
      <c r="AJ175" s="21"/>
      <c r="AK175" s="118">
        <v>0</v>
      </c>
      <c r="AL175" s="118">
        <v>60901485.450000003</v>
      </c>
      <c r="AM175" s="123"/>
      <c r="AN175" s="123"/>
      <c r="AO175" s="123"/>
      <c r="AP175" s="123"/>
      <c r="AQ175" s="123"/>
      <c r="AR175" s="123"/>
      <c r="AS175" s="123"/>
      <c r="AT175" s="123"/>
      <c r="AU175" s="123"/>
      <c r="AV175" s="123">
        <v>0.1</v>
      </c>
      <c r="AW175" s="124"/>
      <c r="AX175" s="124">
        <f>+AL175*0.9/2</f>
        <v>27405668.452500001</v>
      </c>
      <c r="AY175" s="124"/>
      <c r="AZ175" s="124">
        <f t="shared" si="35"/>
        <v>6090148.5499999998</v>
      </c>
      <c r="BA175" s="21"/>
      <c r="BB175" s="21"/>
      <c r="BC175" s="21"/>
      <c r="BD175" s="21"/>
      <c r="BE175" s="21"/>
      <c r="BF175" s="21"/>
      <c r="BG175" s="21"/>
      <c r="BH175" s="21"/>
      <c r="BI175" s="21"/>
      <c r="BJ175" s="21"/>
    </row>
    <row r="176" spans="1:62" ht="14" x14ac:dyDescent="0.15">
      <c r="A176" s="17">
        <v>172</v>
      </c>
      <c r="B176" s="16" t="s">
        <v>832</v>
      </c>
      <c r="C176" s="15">
        <v>182431199</v>
      </c>
      <c r="D176" s="112">
        <v>45166</v>
      </c>
      <c r="E176" s="21" t="s">
        <v>480</v>
      </c>
      <c r="F176" s="15">
        <f t="shared" si="34"/>
        <v>182431199</v>
      </c>
      <c r="G176" s="21" t="s">
        <v>62</v>
      </c>
      <c r="H176" s="15">
        <f t="shared" si="33"/>
        <v>0</v>
      </c>
      <c r="I176" s="21" t="s">
        <v>639</v>
      </c>
      <c r="J176" s="21" t="s">
        <v>141</v>
      </c>
      <c r="K176" s="21" t="s">
        <v>833</v>
      </c>
      <c r="L176" s="112">
        <v>45166</v>
      </c>
      <c r="M176" s="122">
        <v>9822</v>
      </c>
      <c r="N176" s="114">
        <v>44567</v>
      </c>
      <c r="O176" s="115" t="s">
        <v>66</v>
      </c>
      <c r="P176" s="115" t="s">
        <v>767</v>
      </c>
      <c r="Q176" s="115" t="s">
        <v>112</v>
      </c>
      <c r="R176" s="116" t="s">
        <v>640</v>
      </c>
      <c r="S176" s="115" t="s">
        <v>69</v>
      </c>
      <c r="T176" s="117"/>
      <c r="U176" s="117"/>
      <c r="V176" s="118">
        <v>182431199</v>
      </c>
      <c r="W176" s="118"/>
      <c r="X176" s="118" t="s">
        <v>1154</v>
      </c>
      <c r="Y176" s="118">
        <f>+V176</f>
        <v>182431199</v>
      </c>
      <c r="Z176" s="118" t="s">
        <v>79</v>
      </c>
      <c r="AA176" s="118">
        <v>0</v>
      </c>
      <c r="AB176" s="119" t="s">
        <v>641</v>
      </c>
      <c r="AC176" s="120"/>
      <c r="AD176" s="121">
        <v>900072667</v>
      </c>
      <c r="AE176" s="122" t="s">
        <v>1326</v>
      </c>
      <c r="AF176" s="126"/>
      <c r="AG176" s="114">
        <v>45294</v>
      </c>
      <c r="AH176" s="21"/>
      <c r="AI176" s="21"/>
      <c r="AJ176" s="21"/>
      <c r="AK176" s="118">
        <v>0</v>
      </c>
      <c r="AL176" s="118">
        <f>V176</f>
        <v>182431199</v>
      </c>
      <c r="AM176" s="123">
        <v>0.29239999999999999</v>
      </c>
      <c r="AN176" s="123">
        <v>0.02</v>
      </c>
      <c r="AO176" s="123">
        <v>0.05</v>
      </c>
      <c r="AP176" s="123"/>
      <c r="AQ176" s="123"/>
      <c r="AR176" s="123"/>
      <c r="AS176" s="123"/>
      <c r="AT176" s="123"/>
      <c r="AU176" s="123"/>
      <c r="AV176" s="123">
        <v>0.1</v>
      </c>
      <c r="AW176" s="124"/>
      <c r="AX176" s="124">
        <f>IF(AK176="","",ROUND(AL176*0%,2))</f>
        <v>0</v>
      </c>
      <c r="AY176" s="124">
        <f>IF(AK176="","",ROUND(AL176*100%,2))</f>
        <v>182431199</v>
      </c>
      <c r="AZ176" s="124">
        <f>IF(AK176="","",ROUND(AL176*0%,2))</f>
        <v>0</v>
      </c>
      <c r="BA176" s="21"/>
      <c r="BB176" s="21"/>
      <c r="BC176" s="21"/>
      <c r="BD176" s="21"/>
      <c r="BE176" s="21"/>
      <c r="BF176" s="21"/>
      <c r="BG176" s="21"/>
      <c r="BH176" s="21"/>
      <c r="BI176" s="21"/>
      <c r="BJ176" s="21"/>
    </row>
    <row r="177" spans="1:62" ht="14" x14ac:dyDescent="0.15">
      <c r="A177" s="17">
        <v>173</v>
      </c>
      <c r="B177" s="16" t="s">
        <v>834</v>
      </c>
      <c r="C177" s="15">
        <v>39093032</v>
      </c>
      <c r="D177" s="112">
        <v>45166</v>
      </c>
      <c r="E177" s="21" t="s">
        <v>61</v>
      </c>
      <c r="F177" s="15">
        <f t="shared" si="34"/>
        <v>39093032</v>
      </c>
      <c r="G177" s="21"/>
      <c r="H177" s="15">
        <f t="shared" si="33"/>
        <v>0</v>
      </c>
      <c r="I177" s="21" t="s">
        <v>211</v>
      </c>
      <c r="J177" s="21" t="s">
        <v>141</v>
      </c>
      <c r="K177" s="21" t="s">
        <v>835</v>
      </c>
      <c r="L177" s="112">
        <v>45166</v>
      </c>
      <c r="M177" s="127">
        <v>176921</v>
      </c>
      <c r="N177" s="114">
        <v>44477</v>
      </c>
      <c r="O177" s="115" t="s">
        <v>66</v>
      </c>
      <c r="P177" s="115" t="s">
        <v>767</v>
      </c>
      <c r="Q177" s="122" t="s">
        <v>112</v>
      </c>
      <c r="R177" s="116" t="s">
        <v>213</v>
      </c>
      <c r="S177" s="115" t="s">
        <v>69</v>
      </c>
      <c r="T177" s="117">
        <v>45165</v>
      </c>
      <c r="U177" s="117"/>
      <c r="V177" s="118">
        <v>39093032</v>
      </c>
      <c r="W177" s="118"/>
      <c r="X177" s="118" t="s">
        <v>1154</v>
      </c>
      <c r="Y177" s="118">
        <f>+V177</f>
        <v>39093032</v>
      </c>
      <c r="Z177" s="125" t="s">
        <v>79</v>
      </c>
      <c r="AA177" s="118">
        <v>0</v>
      </c>
      <c r="AB177" s="119" t="s">
        <v>214</v>
      </c>
      <c r="AC177" s="120">
        <v>45165</v>
      </c>
      <c r="AD177" s="121">
        <v>87069865</v>
      </c>
      <c r="AE177" s="122" t="s">
        <v>1268</v>
      </c>
      <c r="AF177" s="126"/>
      <c r="AG177" s="114">
        <v>45291</v>
      </c>
      <c r="AH177" s="21" t="s">
        <v>326</v>
      </c>
      <c r="AI177" s="21" t="s">
        <v>836</v>
      </c>
      <c r="AJ177" s="21"/>
      <c r="AK177" s="118">
        <v>0</v>
      </c>
      <c r="AL177" s="118">
        <v>39093032</v>
      </c>
      <c r="AM177" s="123"/>
      <c r="AN177" s="123"/>
      <c r="AO177" s="123"/>
      <c r="AP177" s="123"/>
      <c r="AQ177" s="123"/>
      <c r="AR177" s="123"/>
      <c r="AS177" s="123"/>
      <c r="AT177" s="123"/>
      <c r="AU177" s="123"/>
      <c r="AV177" s="123"/>
      <c r="AW177" s="124"/>
      <c r="AX177" s="124">
        <f>IF(AK177="","",ROUND(AL177/2.5*50%,0))</f>
        <v>7818606</v>
      </c>
      <c r="AY177" s="124">
        <f>IF(AK177="","",ROUND(AL177*40%,2))</f>
        <v>15637212.800000001</v>
      </c>
      <c r="AZ177" s="124">
        <f>IF(AK177="","",ROUND(AL177*10%,2))</f>
        <v>3909303.2</v>
      </c>
      <c r="BA177" s="21"/>
      <c r="BB177" s="21"/>
      <c r="BC177" s="21"/>
      <c r="BD177" s="21"/>
      <c r="BE177" s="21"/>
      <c r="BF177" s="21"/>
      <c r="BG177" s="21"/>
      <c r="BH177" s="21"/>
      <c r="BI177" s="21"/>
      <c r="BJ177" s="21"/>
    </row>
    <row r="178" spans="1:62" ht="14" x14ac:dyDescent="0.15">
      <c r="A178" s="17">
        <v>174</v>
      </c>
      <c r="B178" s="16" t="s">
        <v>837</v>
      </c>
      <c r="C178" s="15">
        <v>143932885.94999999</v>
      </c>
      <c r="D178" s="112">
        <v>45166</v>
      </c>
      <c r="E178" s="21" t="s">
        <v>723</v>
      </c>
      <c r="F178" s="15">
        <f t="shared" si="34"/>
        <v>143932885.94999999</v>
      </c>
      <c r="G178" s="21" t="s">
        <v>62</v>
      </c>
      <c r="H178" s="15">
        <f t="shared" si="33"/>
        <v>0</v>
      </c>
      <c r="I178" s="21" t="s">
        <v>363</v>
      </c>
      <c r="J178" s="21" t="s">
        <v>253</v>
      </c>
      <c r="K178" s="21" t="s">
        <v>838</v>
      </c>
      <c r="L178" s="112">
        <v>45166</v>
      </c>
      <c r="M178" s="127">
        <v>6080001</v>
      </c>
      <c r="N178" s="114">
        <v>45085</v>
      </c>
      <c r="O178" s="122" t="s">
        <v>830</v>
      </c>
      <c r="P178" s="115" t="s">
        <v>363</v>
      </c>
      <c r="Q178" s="21" t="s">
        <v>839</v>
      </c>
      <c r="R178" s="116" t="s">
        <v>364</v>
      </c>
      <c r="S178" s="115" t="s">
        <v>69</v>
      </c>
      <c r="T178" s="120">
        <v>45167</v>
      </c>
      <c r="U178" s="117" t="s">
        <v>124</v>
      </c>
      <c r="V178" s="138">
        <v>143932885.94999999</v>
      </c>
      <c r="W178" s="15"/>
      <c r="X178" s="118" t="s">
        <v>1117</v>
      </c>
      <c r="Y178" s="15">
        <v>143932885.94999999</v>
      </c>
      <c r="Z178" s="118" t="s">
        <v>70</v>
      </c>
      <c r="AA178" s="15"/>
      <c r="AB178" s="119" t="s">
        <v>365</v>
      </c>
      <c r="AC178" s="120">
        <v>45167</v>
      </c>
      <c r="AD178" s="121">
        <v>87069865</v>
      </c>
      <c r="AE178" s="122" t="s">
        <v>1268</v>
      </c>
      <c r="AF178" s="126"/>
      <c r="AG178" s="114">
        <v>45261</v>
      </c>
      <c r="AH178" s="21" t="s">
        <v>683</v>
      </c>
      <c r="AI178" s="21"/>
      <c r="AJ178" s="21"/>
      <c r="AK178" s="118">
        <v>0</v>
      </c>
      <c r="AL178" s="118">
        <f>IF(AK178="","",V178-AK178)</f>
        <v>143932885.94999999</v>
      </c>
      <c r="AM178" s="123"/>
      <c r="AN178" s="123"/>
      <c r="AO178" s="123"/>
      <c r="AP178" s="123"/>
      <c r="AQ178" s="123"/>
      <c r="AR178" s="123"/>
      <c r="AS178" s="123"/>
      <c r="AT178" s="123"/>
      <c r="AU178" s="123"/>
      <c r="AV178" s="123"/>
      <c r="AW178" s="124"/>
      <c r="AX178" s="124">
        <f>IF(AK178="","",ROUND(AL178/INT(LEFT(AH178,FIND("m",AH178)-1))*50%,2))</f>
        <v>35983221.490000002</v>
      </c>
      <c r="AY178" s="124">
        <f>IF(AK178="","",ROUND(AL178*40%,2))</f>
        <v>57573154.380000003</v>
      </c>
      <c r="AZ178" s="124">
        <f>IF(AK178="","",ROUND(AL178*10%,2))</f>
        <v>14393288.6</v>
      </c>
      <c r="BA178" s="21" t="s">
        <v>83</v>
      </c>
      <c r="BB178" s="21"/>
      <c r="BC178" s="21"/>
      <c r="BD178" s="21"/>
      <c r="BE178" s="21"/>
      <c r="BF178" s="21"/>
      <c r="BG178" s="21"/>
      <c r="BH178" s="21"/>
      <c r="BI178" s="21"/>
      <c r="BJ178" s="21"/>
    </row>
    <row r="179" spans="1:62" ht="14" x14ac:dyDescent="0.15">
      <c r="A179" s="17">
        <v>175</v>
      </c>
      <c r="B179" s="16" t="s">
        <v>840</v>
      </c>
      <c r="C179" s="15">
        <v>6335245670</v>
      </c>
      <c r="D179" s="112">
        <v>45175</v>
      </c>
      <c r="E179" s="21" t="s">
        <v>480</v>
      </c>
      <c r="F179" s="15">
        <f t="shared" si="34"/>
        <v>6335245670</v>
      </c>
      <c r="G179" s="21" t="s">
        <v>62</v>
      </c>
      <c r="H179" s="15">
        <f t="shared" si="33"/>
        <v>0</v>
      </c>
      <c r="I179" s="21" t="s">
        <v>841</v>
      </c>
      <c r="J179" s="21" t="s">
        <v>199</v>
      </c>
      <c r="K179" s="21" t="s">
        <v>618</v>
      </c>
      <c r="L179" s="112">
        <v>45175</v>
      </c>
      <c r="M179" s="127">
        <v>9822</v>
      </c>
      <c r="N179" s="114">
        <v>44567</v>
      </c>
      <c r="O179" s="115" t="s">
        <v>66</v>
      </c>
      <c r="P179" s="115" t="s">
        <v>767</v>
      </c>
      <c r="Q179" s="115" t="s">
        <v>112</v>
      </c>
      <c r="R179" s="116" t="s">
        <v>842</v>
      </c>
      <c r="S179" s="115" t="s">
        <v>69</v>
      </c>
      <c r="T179" s="117">
        <v>45250</v>
      </c>
      <c r="U179" s="117"/>
      <c r="V179" s="118">
        <v>6113527113</v>
      </c>
      <c r="W179" s="118">
        <f>+V179</f>
        <v>6113527113</v>
      </c>
      <c r="X179" s="118" t="s">
        <v>1154</v>
      </c>
      <c r="Y179" s="118"/>
      <c r="Z179" s="118" t="s">
        <v>70</v>
      </c>
      <c r="AA179" s="118"/>
      <c r="AB179" s="119" t="s">
        <v>843</v>
      </c>
      <c r="AC179" s="120">
        <v>45300</v>
      </c>
      <c r="AD179" s="121">
        <v>901782618</v>
      </c>
      <c r="AE179" s="122" t="s">
        <v>1343</v>
      </c>
      <c r="AF179" s="126"/>
      <c r="AG179" s="114"/>
      <c r="AH179" s="21" t="s">
        <v>604</v>
      </c>
      <c r="AI179" s="21"/>
      <c r="AJ179" s="21"/>
      <c r="AK179" s="118">
        <v>78963789</v>
      </c>
      <c r="AL179" s="118">
        <f>IF(AK179="","",V179-AK179)</f>
        <v>6034563324</v>
      </c>
      <c r="AM179" s="123"/>
      <c r="AN179" s="123"/>
      <c r="AO179" s="123"/>
      <c r="AP179" s="123"/>
      <c r="AQ179" s="123"/>
      <c r="AR179" s="123"/>
      <c r="AS179" s="123"/>
      <c r="AT179" s="123"/>
      <c r="AU179" s="123"/>
      <c r="AV179" s="123">
        <v>0.1</v>
      </c>
      <c r="AW179" s="124">
        <f>+AK179</f>
        <v>78963789</v>
      </c>
      <c r="AX179" s="124">
        <f>IF(AK179="","",ROUND(AL179*0%,2))</f>
        <v>0</v>
      </c>
      <c r="AY179" s="124">
        <f>IF(AK179="","",ROUND(AL179*100%,2))</f>
        <v>6034563324</v>
      </c>
      <c r="AZ179" s="124">
        <f>IF(AK179="","",ROUND(AL179*0%,2))</f>
        <v>0</v>
      </c>
      <c r="BA179" s="21" t="s">
        <v>670</v>
      </c>
      <c r="BB179" s="21"/>
      <c r="BC179" s="21"/>
      <c r="BD179" s="21"/>
      <c r="BE179" s="21"/>
      <c r="BF179" s="21"/>
      <c r="BG179" s="21"/>
      <c r="BH179" s="21"/>
      <c r="BI179" s="21"/>
      <c r="BJ179" s="21"/>
    </row>
    <row r="180" spans="1:62" ht="14" x14ac:dyDescent="0.15">
      <c r="A180" s="17">
        <v>176</v>
      </c>
      <c r="B180" s="16" t="s">
        <v>844</v>
      </c>
      <c r="C180" s="15">
        <v>5073788210</v>
      </c>
      <c r="D180" s="112">
        <v>45175</v>
      </c>
      <c r="E180" s="21" t="s">
        <v>480</v>
      </c>
      <c r="F180" s="15">
        <f t="shared" si="34"/>
        <v>5073788210</v>
      </c>
      <c r="G180" s="21" t="s">
        <v>62</v>
      </c>
      <c r="H180" s="15">
        <f t="shared" si="33"/>
        <v>0</v>
      </c>
      <c r="I180" s="21" t="s">
        <v>845</v>
      </c>
      <c r="J180" s="21" t="s">
        <v>160</v>
      </c>
      <c r="K180" s="21" t="s">
        <v>618</v>
      </c>
      <c r="L180" s="112">
        <v>45175</v>
      </c>
      <c r="M180" s="127">
        <v>162822</v>
      </c>
      <c r="N180" s="114">
        <v>44916</v>
      </c>
      <c r="O180" s="115" t="s">
        <v>66</v>
      </c>
      <c r="P180" s="115" t="s">
        <v>767</v>
      </c>
      <c r="Q180" s="115" t="s">
        <v>112</v>
      </c>
      <c r="R180" s="116" t="s">
        <v>846</v>
      </c>
      <c r="S180" s="115" t="s">
        <v>69</v>
      </c>
      <c r="T180" s="117">
        <v>45274</v>
      </c>
      <c r="U180" s="117"/>
      <c r="V180" s="118">
        <v>4931723379</v>
      </c>
      <c r="W180" s="118">
        <f>+V180</f>
        <v>4931723379</v>
      </c>
      <c r="X180" s="118" t="s">
        <v>1154</v>
      </c>
      <c r="Y180" s="118"/>
      <c r="Z180" s="118" t="s">
        <v>70</v>
      </c>
      <c r="AA180" s="118"/>
      <c r="AB180" s="119" t="s">
        <v>847</v>
      </c>
      <c r="AC180" s="120">
        <v>45307</v>
      </c>
      <c r="AD180" s="121">
        <v>900481955</v>
      </c>
      <c r="AE180" s="122" t="s">
        <v>1344</v>
      </c>
      <c r="AF180" s="126"/>
      <c r="AG180" s="114"/>
      <c r="AH180" s="21" t="s">
        <v>604</v>
      </c>
      <c r="AI180" s="21"/>
      <c r="AJ180" s="21"/>
      <c r="AK180" s="118">
        <v>79536582</v>
      </c>
      <c r="AL180" s="118">
        <f>IF(AK180="","",V180-AK180)</f>
        <v>4852186797</v>
      </c>
      <c r="AM180" s="136">
        <v>0.246</v>
      </c>
      <c r="AN180" s="123">
        <v>0.02</v>
      </c>
      <c r="AO180" s="123">
        <v>0.05</v>
      </c>
      <c r="AP180" s="123">
        <v>0.19</v>
      </c>
      <c r="AQ180" s="123"/>
      <c r="AR180" s="123"/>
      <c r="AS180" s="123"/>
      <c r="AT180" s="123"/>
      <c r="AU180" s="123"/>
      <c r="AV180" s="123">
        <v>0.1</v>
      </c>
      <c r="AW180" s="124">
        <f>+AK180</f>
        <v>79536582</v>
      </c>
      <c r="AX180" s="124">
        <f>IF(AK180="","",ROUND(AL180*0%,2))</f>
        <v>0</v>
      </c>
      <c r="AY180" s="124">
        <f>IF(AK180="","",ROUND(AL180*100%,2))</f>
        <v>4852186797</v>
      </c>
      <c r="AZ180" s="124">
        <f>IF(AK180="","",ROUND(AL180*0%,2))</f>
        <v>0</v>
      </c>
      <c r="BA180" s="21"/>
      <c r="BB180" s="21"/>
      <c r="BC180" s="21"/>
      <c r="BD180" s="21"/>
      <c r="BE180" s="21"/>
      <c r="BF180" s="21"/>
      <c r="BG180" s="21"/>
      <c r="BH180" s="21"/>
      <c r="BI180" s="21"/>
      <c r="BJ180" s="21" t="s">
        <v>848</v>
      </c>
    </row>
    <row r="181" spans="1:62" ht="14" x14ac:dyDescent="0.15">
      <c r="A181" s="17">
        <v>177</v>
      </c>
      <c r="B181" s="16" t="s">
        <v>849</v>
      </c>
      <c r="C181" s="15">
        <v>4216736767</v>
      </c>
      <c r="D181" s="112">
        <v>45177</v>
      </c>
      <c r="E181" s="21" t="s">
        <v>480</v>
      </c>
      <c r="F181" s="15">
        <f t="shared" si="34"/>
        <v>4216736767</v>
      </c>
      <c r="G181" s="21" t="s">
        <v>62</v>
      </c>
      <c r="H181" s="15">
        <f t="shared" si="33"/>
        <v>0</v>
      </c>
      <c r="I181" s="21" t="s">
        <v>850</v>
      </c>
      <c r="J181" s="21" t="s">
        <v>87</v>
      </c>
      <c r="K181" s="21" t="s">
        <v>618</v>
      </c>
      <c r="L181" s="112">
        <v>45177</v>
      </c>
      <c r="M181" s="127">
        <v>162822</v>
      </c>
      <c r="N181" s="114">
        <v>44916</v>
      </c>
      <c r="O181" s="115" t="s">
        <v>66</v>
      </c>
      <c r="P181" s="115" t="s">
        <v>767</v>
      </c>
      <c r="Q181" s="115" t="s">
        <v>112</v>
      </c>
      <c r="R181" s="116" t="s">
        <v>851</v>
      </c>
      <c r="S181" s="115" t="s">
        <v>69</v>
      </c>
      <c r="T181" s="117">
        <v>45247</v>
      </c>
      <c r="U181" s="117"/>
      <c r="V181" s="118">
        <v>4048073289</v>
      </c>
      <c r="W181" s="118">
        <f>+V181</f>
        <v>4048073289</v>
      </c>
      <c r="X181" s="118" t="s">
        <v>1154</v>
      </c>
      <c r="Y181" s="118"/>
      <c r="Z181" s="125" t="s">
        <v>70</v>
      </c>
      <c r="AA181" s="118"/>
      <c r="AB181" s="119" t="s">
        <v>852</v>
      </c>
      <c r="AC181" s="120">
        <v>45329</v>
      </c>
      <c r="AD181" s="121">
        <v>901780322</v>
      </c>
      <c r="AE181" s="122" t="s">
        <v>1345</v>
      </c>
      <c r="AF181" s="126"/>
      <c r="AG181" s="114"/>
      <c r="AH181" s="21" t="s">
        <v>604</v>
      </c>
      <c r="AI181" s="21"/>
      <c r="AJ181" s="21"/>
      <c r="AK181" s="118">
        <v>78554650</v>
      </c>
      <c r="AL181" s="118">
        <f>IF(AK181="","",V181-AK181)</f>
        <v>3969518639</v>
      </c>
      <c r="AM181" s="136">
        <v>0.29809999999999998</v>
      </c>
      <c r="AN181" s="123">
        <v>0.02</v>
      </c>
      <c r="AO181" s="123">
        <v>0.05</v>
      </c>
      <c r="AP181" s="123">
        <v>0.19</v>
      </c>
      <c r="AQ181" s="123"/>
      <c r="AR181" s="134"/>
      <c r="AS181" s="134"/>
      <c r="AT181" s="134"/>
      <c r="AU181" s="134"/>
      <c r="AV181" s="123">
        <v>0.1</v>
      </c>
      <c r="AW181" s="124">
        <f>+AK181</f>
        <v>78554650</v>
      </c>
      <c r="AX181" s="124">
        <f>IF(AK181="","",ROUND(AL181*0%,2))</f>
        <v>0</v>
      </c>
      <c r="AY181" s="124">
        <f>IF(AK181="","",ROUND(AL181*100%,2))</f>
        <v>3969518639</v>
      </c>
      <c r="AZ181" s="124">
        <f>IF(AK181="","",ROUND(AL181*0%,2))</f>
        <v>0</v>
      </c>
      <c r="BA181" s="21"/>
      <c r="BB181" s="21"/>
      <c r="BC181" s="21"/>
      <c r="BD181" s="21"/>
      <c r="BE181" s="21"/>
      <c r="BF181" s="21"/>
      <c r="BG181" s="21"/>
      <c r="BH181" s="21"/>
      <c r="BI181" s="21"/>
      <c r="BJ181" s="21"/>
    </row>
    <row r="182" spans="1:62" ht="14" x14ac:dyDescent="0.15">
      <c r="A182" s="17">
        <v>178</v>
      </c>
      <c r="B182" s="16" t="s">
        <v>853</v>
      </c>
      <c r="C182" s="15">
        <v>471029080</v>
      </c>
      <c r="D182" s="112">
        <v>45177</v>
      </c>
      <c r="E182" s="21" t="s">
        <v>85</v>
      </c>
      <c r="F182" s="15">
        <f t="shared" si="34"/>
        <v>471029080</v>
      </c>
      <c r="G182" s="21" t="s">
        <v>62</v>
      </c>
      <c r="H182" s="15">
        <f t="shared" si="33"/>
        <v>0</v>
      </c>
      <c r="I182" s="21" t="s">
        <v>850</v>
      </c>
      <c r="J182" s="21" t="s">
        <v>87</v>
      </c>
      <c r="K182" s="21" t="s">
        <v>618</v>
      </c>
      <c r="L182" s="112">
        <v>45177</v>
      </c>
      <c r="M182" s="127">
        <v>162822</v>
      </c>
      <c r="N182" s="114">
        <v>44916</v>
      </c>
      <c r="O182" s="115" t="s">
        <v>66</v>
      </c>
      <c r="P182" s="115" t="s">
        <v>767</v>
      </c>
      <c r="Q182" s="115" t="s">
        <v>112</v>
      </c>
      <c r="R182" s="116" t="s">
        <v>854</v>
      </c>
      <c r="S182" s="115" t="s">
        <v>69</v>
      </c>
      <c r="T182" s="117">
        <v>45247</v>
      </c>
      <c r="U182" s="117"/>
      <c r="V182" s="118">
        <v>442782340</v>
      </c>
      <c r="W182" s="118">
        <f>+V182</f>
        <v>442782340</v>
      </c>
      <c r="X182" s="118" t="s">
        <v>1154</v>
      </c>
      <c r="Y182" s="118"/>
      <c r="Z182" s="125" t="s">
        <v>632</v>
      </c>
      <c r="AA182" s="118"/>
      <c r="AB182" s="119" t="s">
        <v>855</v>
      </c>
      <c r="AC182" s="120">
        <v>45300</v>
      </c>
      <c r="AD182" s="121">
        <v>901781583</v>
      </c>
      <c r="AE182" s="122" t="s">
        <v>1346</v>
      </c>
      <c r="AF182" s="126">
        <v>45355</v>
      </c>
      <c r="AG182" s="114">
        <v>45401</v>
      </c>
      <c r="AH182" s="21" t="s">
        <v>637</v>
      </c>
      <c r="AI182" s="21"/>
      <c r="AJ182" s="21"/>
      <c r="AK182" s="118">
        <v>63716170</v>
      </c>
      <c r="AL182" s="118">
        <f>IF(AK182="","",V182-AK182)</f>
        <v>379066170</v>
      </c>
      <c r="AM182" s="123"/>
      <c r="AN182" s="123"/>
      <c r="AO182" s="123"/>
      <c r="AP182" s="123"/>
      <c r="AQ182" s="123"/>
      <c r="AR182" s="123"/>
      <c r="AS182" s="123"/>
      <c r="AT182" s="123"/>
      <c r="AU182" s="123"/>
      <c r="AV182" s="123">
        <v>0.1</v>
      </c>
      <c r="AW182" s="124">
        <f>IF(AK182="","",AK182)</f>
        <v>63716170</v>
      </c>
      <c r="AX182" s="124">
        <f>IF(AK182="","",ROUND(AL182/INT(LEFT(AH182,FIND("m",AH182)-1))*50%,2))</f>
        <v>18953308.5</v>
      </c>
      <c r="AY182" s="124">
        <f>IF(AK182="","",ROUND(AL182*40%,2))</f>
        <v>151626468</v>
      </c>
      <c r="AZ182" s="124">
        <f t="shared" ref="AZ182:AZ188" si="36">IF(AK182="","",ROUND(AL182*10%,2))</f>
        <v>37906617</v>
      </c>
      <c r="BA182" s="21"/>
      <c r="BB182" s="21"/>
      <c r="BC182" s="21"/>
      <c r="BD182" s="21"/>
      <c r="BE182" s="21"/>
      <c r="BF182" s="21"/>
      <c r="BG182" s="21"/>
      <c r="BH182" s="21"/>
      <c r="BI182" s="21"/>
      <c r="BJ182" s="21"/>
    </row>
    <row r="183" spans="1:62" ht="14" x14ac:dyDescent="0.15">
      <c r="A183" s="17">
        <v>179</v>
      </c>
      <c r="B183" s="16" t="s">
        <v>856</v>
      </c>
      <c r="C183" s="15">
        <v>75860610</v>
      </c>
      <c r="D183" s="112">
        <v>45180</v>
      </c>
      <c r="E183" s="21" t="s">
        <v>723</v>
      </c>
      <c r="F183" s="15">
        <f t="shared" si="34"/>
        <v>75860610</v>
      </c>
      <c r="G183" s="21" t="s">
        <v>62</v>
      </c>
      <c r="H183" s="15">
        <f t="shared" si="33"/>
        <v>0</v>
      </c>
      <c r="I183" s="21" t="s">
        <v>167</v>
      </c>
      <c r="J183" s="21" t="s">
        <v>102</v>
      </c>
      <c r="K183" s="21" t="s">
        <v>857</v>
      </c>
      <c r="L183" s="112">
        <v>45180</v>
      </c>
      <c r="M183" s="122" t="s">
        <v>858</v>
      </c>
      <c r="N183" s="114">
        <v>45099</v>
      </c>
      <c r="O183" s="122" t="s">
        <v>830</v>
      </c>
      <c r="P183" s="115" t="s">
        <v>859</v>
      </c>
      <c r="Q183" s="21" t="s">
        <v>860</v>
      </c>
      <c r="R183" s="116" t="s">
        <v>168</v>
      </c>
      <c r="S183" s="115" t="s">
        <v>69</v>
      </c>
      <c r="T183" s="117"/>
      <c r="U183" s="117" t="s">
        <v>124</v>
      </c>
      <c r="V183" s="137">
        <v>75860610</v>
      </c>
      <c r="W183" s="118"/>
      <c r="X183" s="118" t="s">
        <v>1117</v>
      </c>
      <c r="Y183" s="118">
        <v>75860610</v>
      </c>
      <c r="Z183" s="118" t="s">
        <v>79</v>
      </c>
      <c r="AA183" s="118">
        <v>0</v>
      </c>
      <c r="AB183" s="119" t="s">
        <v>169</v>
      </c>
      <c r="AC183" s="120"/>
      <c r="AD183" s="121">
        <v>890115120</v>
      </c>
      <c r="AE183" s="122" t="s">
        <v>1271</v>
      </c>
      <c r="AF183" s="126"/>
      <c r="AG183" s="114">
        <v>45286</v>
      </c>
      <c r="AH183" s="21" t="s">
        <v>748</v>
      </c>
      <c r="AI183" s="21"/>
      <c r="AJ183" s="21"/>
      <c r="AK183" s="118">
        <v>0</v>
      </c>
      <c r="AL183" s="118">
        <f>+V183</f>
        <v>75860610</v>
      </c>
      <c r="AM183" s="123"/>
      <c r="AN183" s="123"/>
      <c r="AO183" s="123"/>
      <c r="AP183" s="123"/>
      <c r="AQ183" s="123"/>
      <c r="AR183" s="123"/>
      <c r="AS183" s="123"/>
      <c r="AT183" s="123"/>
      <c r="AU183" s="123"/>
      <c r="AV183" s="123"/>
      <c r="AW183" s="124"/>
      <c r="AX183" s="124">
        <f>(AL183-AY183-AZ183)/3</f>
        <v>14716423</v>
      </c>
      <c r="AY183" s="124">
        <f>IF(AK183="","",ROUND(60313200*40%,2))</f>
        <v>24125280</v>
      </c>
      <c r="AZ183" s="124">
        <f t="shared" si="36"/>
        <v>7586061</v>
      </c>
      <c r="BA183" s="21"/>
      <c r="BB183" s="21"/>
      <c r="BC183" s="21"/>
      <c r="BD183" s="21"/>
      <c r="BE183" s="21"/>
      <c r="BF183" s="21"/>
      <c r="BG183" s="21"/>
      <c r="BH183" s="21"/>
      <c r="BI183" s="21"/>
      <c r="BJ183" s="21"/>
    </row>
    <row r="184" spans="1:62" ht="14" x14ac:dyDescent="0.15">
      <c r="A184" s="17">
        <v>180</v>
      </c>
      <c r="B184" s="16" t="s">
        <v>861</v>
      </c>
      <c r="C184" s="15">
        <v>13209776.5</v>
      </c>
      <c r="D184" s="112">
        <v>45180</v>
      </c>
      <c r="E184" s="21" t="s">
        <v>85</v>
      </c>
      <c r="F184" s="15">
        <f t="shared" si="34"/>
        <v>13209776.5</v>
      </c>
      <c r="G184" s="21" t="s">
        <v>62</v>
      </c>
      <c r="H184" s="15">
        <f t="shared" si="33"/>
        <v>0</v>
      </c>
      <c r="I184" s="21" t="s">
        <v>626</v>
      </c>
      <c r="J184" s="21" t="s">
        <v>384</v>
      </c>
      <c r="K184" s="21" t="s">
        <v>862</v>
      </c>
      <c r="L184" s="112">
        <v>45180</v>
      </c>
      <c r="M184" s="127">
        <v>9822</v>
      </c>
      <c r="N184" s="114">
        <v>44567</v>
      </c>
      <c r="O184" s="115" t="s">
        <v>66</v>
      </c>
      <c r="P184" s="115" t="s">
        <v>767</v>
      </c>
      <c r="Q184" s="115" t="s">
        <v>112</v>
      </c>
      <c r="R184" s="116" t="s">
        <v>646</v>
      </c>
      <c r="S184" s="115" t="s">
        <v>69</v>
      </c>
      <c r="T184" s="117"/>
      <c r="U184" s="117"/>
      <c r="V184" s="118">
        <v>13209776.5</v>
      </c>
      <c r="W184" s="118"/>
      <c r="X184" s="118" t="s">
        <v>1154</v>
      </c>
      <c r="Y184" s="118">
        <f>+V184</f>
        <v>13209776.5</v>
      </c>
      <c r="Z184" s="118" t="s">
        <v>70</v>
      </c>
      <c r="AA184" s="118"/>
      <c r="AB184" s="119" t="s">
        <v>647</v>
      </c>
      <c r="AC184" s="120"/>
      <c r="AD184" s="121">
        <v>10549160</v>
      </c>
      <c r="AE184" s="122" t="s">
        <v>1327</v>
      </c>
      <c r="AF184" s="126"/>
      <c r="AG184" s="114">
        <v>45306</v>
      </c>
      <c r="AH184" s="21" t="s">
        <v>683</v>
      </c>
      <c r="AI184" s="21"/>
      <c r="AJ184" s="21"/>
      <c r="AK184" s="118">
        <v>0</v>
      </c>
      <c r="AL184" s="118">
        <v>13209776.5</v>
      </c>
      <c r="AM184" s="123"/>
      <c r="AN184" s="123"/>
      <c r="AO184" s="123"/>
      <c r="AP184" s="123"/>
      <c r="AQ184" s="123"/>
      <c r="AR184" s="123"/>
      <c r="AS184" s="123"/>
      <c r="AT184" s="123"/>
      <c r="AU184" s="123"/>
      <c r="AV184" s="123">
        <v>0.1</v>
      </c>
      <c r="AW184" s="124">
        <f>IF(AK184="","",AK184)</f>
        <v>0</v>
      </c>
      <c r="AX184" s="124">
        <f>IF(AK184="","",ROUND(AL184/INT(LEFT(AH184,FIND("m",AH184)-1))*90%,2))</f>
        <v>5944399.4299999997</v>
      </c>
      <c r="AY184" s="124"/>
      <c r="AZ184" s="124">
        <f t="shared" si="36"/>
        <v>1320977.6499999999</v>
      </c>
      <c r="BA184" s="21" t="s">
        <v>299</v>
      </c>
      <c r="BB184" s="21"/>
      <c r="BC184" s="21"/>
      <c r="BD184" s="21"/>
      <c r="BE184" s="21"/>
      <c r="BF184" s="21"/>
      <c r="BG184" s="21"/>
      <c r="BH184" s="21"/>
      <c r="BI184" s="21"/>
      <c r="BJ184" s="21"/>
    </row>
    <row r="185" spans="1:62" ht="14" x14ac:dyDescent="0.15">
      <c r="A185" s="17">
        <v>181</v>
      </c>
      <c r="B185" s="16" t="s">
        <v>863</v>
      </c>
      <c r="C185" s="15">
        <v>471029080</v>
      </c>
      <c r="D185" s="112">
        <v>45191</v>
      </c>
      <c r="E185" s="21" t="s">
        <v>85</v>
      </c>
      <c r="F185" s="15">
        <f t="shared" si="34"/>
        <v>471029080</v>
      </c>
      <c r="G185" s="21" t="s">
        <v>62</v>
      </c>
      <c r="H185" s="15">
        <f t="shared" si="33"/>
        <v>0</v>
      </c>
      <c r="I185" s="21" t="s">
        <v>841</v>
      </c>
      <c r="J185" s="21" t="s">
        <v>199</v>
      </c>
      <c r="K185" s="21" t="s">
        <v>864</v>
      </c>
      <c r="L185" s="112">
        <v>45191</v>
      </c>
      <c r="M185" s="127">
        <v>176921</v>
      </c>
      <c r="N185" s="114">
        <v>44477</v>
      </c>
      <c r="O185" s="115" t="s">
        <v>66</v>
      </c>
      <c r="P185" s="115" t="s">
        <v>767</v>
      </c>
      <c r="Q185" s="115" t="s">
        <v>112</v>
      </c>
      <c r="R185" s="116" t="s">
        <v>865</v>
      </c>
      <c r="S185" s="115" t="s">
        <v>69</v>
      </c>
      <c r="T185" s="117">
        <v>45250</v>
      </c>
      <c r="U185" s="117"/>
      <c r="V185" s="118">
        <v>442765680</v>
      </c>
      <c r="W185" s="118">
        <f>+V185</f>
        <v>442765680</v>
      </c>
      <c r="X185" s="118" t="s">
        <v>1154</v>
      </c>
      <c r="Y185" s="118"/>
      <c r="Z185" s="118" t="s">
        <v>70</v>
      </c>
      <c r="AA185" s="118"/>
      <c r="AB185" s="119" t="s">
        <v>866</v>
      </c>
      <c r="AC185" s="120">
        <v>45300</v>
      </c>
      <c r="AD185" s="121">
        <v>901781583</v>
      </c>
      <c r="AE185" s="122" t="s">
        <v>1346</v>
      </c>
      <c r="AF185" s="126"/>
      <c r="AG185" s="114">
        <v>45746</v>
      </c>
      <c r="AH185" s="21" t="s">
        <v>637</v>
      </c>
      <c r="AI185" s="21"/>
      <c r="AJ185" s="21"/>
      <c r="AK185" s="118">
        <v>63505540</v>
      </c>
      <c r="AL185" s="118">
        <f>IF(AK185="","",V185-AK185)</f>
        <v>379260140</v>
      </c>
      <c r="AM185" s="123"/>
      <c r="AN185" s="123"/>
      <c r="AO185" s="123"/>
      <c r="AP185" s="123"/>
      <c r="AQ185" s="123"/>
      <c r="AR185" s="123"/>
      <c r="AS185" s="123"/>
      <c r="AT185" s="123"/>
      <c r="AU185" s="123"/>
      <c r="AV185" s="123">
        <v>0.1</v>
      </c>
      <c r="AW185" s="124">
        <f>IF(AK185="","",AK185)</f>
        <v>63505540</v>
      </c>
      <c r="AX185" s="124">
        <f>IF(AK185="","",ROUND(AL185/INT(LEFT(AH185,FIND("m",AH185)-1))*50%,2))</f>
        <v>18963007</v>
      </c>
      <c r="AY185" s="124">
        <f>IF(AK185="","",ROUND(AL185*40%,2))</f>
        <v>151704056</v>
      </c>
      <c r="AZ185" s="124">
        <f t="shared" si="36"/>
        <v>37926014</v>
      </c>
      <c r="BA185" s="21"/>
      <c r="BB185" s="21"/>
      <c r="BC185" s="21"/>
      <c r="BD185" s="21"/>
      <c r="BE185" s="21"/>
      <c r="BF185" s="21"/>
      <c r="BG185" s="21"/>
      <c r="BH185" s="21"/>
      <c r="BI185" s="21"/>
      <c r="BJ185" s="21"/>
    </row>
    <row r="186" spans="1:62" ht="14" x14ac:dyDescent="0.15">
      <c r="A186" s="17">
        <v>182</v>
      </c>
      <c r="B186" s="16" t="s">
        <v>867</v>
      </c>
      <c r="C186" s="15">
        <v>471029080</v>
      </c>
      <c r="D186" s="112">
        <v>45191</v>
      </c>
      <c r="E186" s="21" t="s">
        <v>85</v>
      </c>
      <c r="F186" s="15">
        <f t="shared" si="34"/>
        <v>471029080</v>
      </c>
      <c r="G186" s="21" t="s">
        <v>62</v>
      </c>
      <c r="H186" s="15">
        <f t="shared" si="33"/>
        <v>0</v>
      </c>
      <c r="I186" s="21" t="s">
        <v>845</v>
      </c>
      <c r="J186" s="21" t="s">
        <v>868</v>
      </c>
      <c r="K186" s="21" t="s">
        <v>869</v>
      </c>
      <c r="L186" s="112">
        <v>45191</v>
      </c>
      <c r="M186" s="127">
        <v>176921</v>
      </c>
      <c r="N186" s="114">
        <v>44477</v>
      </c>
      <c r="O186" s="115" t="s">
        <v>66</v>
      </c>
      <c r="P186" s="115" t="s">
        <v>767</v>
      </c>
      <c r="Q186" s="115" t="s">
        <v>112</v>
      </c>
      <c r="R186" s="116" t="s">
        <v>870</v>
      </c>
      <c r="S186" s="115" t="s">
        <v>69</v>
      </c>
      <c r="T186" s="117">
        <v>45274</v>
      </c>
      <c r="U186" s="117"/>
      <c r="V186" s="118">
        <v>442866271</v>
      </c>
      <c r="W186" s="118">
        <f>+V186</f>
        <v>442866271</v>
      </c>
      <c r="X186" s="118" t="s">
        <v>1154</v>
      </c>
      <c r="Y186" s="118"/>
      <c r="Z186" s="118" t="s">
        <v>70</v>
      </c>
      <c r="AA186" s="118"/>
      <c r="AB186" s="119" t="s">
        <v>871</v>
      </c>
      <c r="AC186" s="120">
        <v>45287</v>
      </c>
      <c r="AD186" s="121">
        <v>900506471</v>
      </c>
      <c r="AE186" s="122" t="s">
        <v>1342</v>
      </c>
      <c r="AF186" s="126"/>
      <c r="AG186" s="114"/>
      <c r="AH186" s="21" t="s">
        <v>637</v>
      </c>
      <c r="AI186" s="21"/>
      <c r="AJ186" s="21"/>
      <c r="AK186" s="118">
        <v>63136884</v>
      </c>
      <c r="AL186" s="118">
        <f>IF(AK186="","",V186-AK186)</f>
        <v>379729387</v>
      </c>
      <c r="AM186" s="123"/>
      <c r="AN186" s="123"/>
      <c r="AO186" s="123"/>
      <c r="AP186" s="123"/>
      <c r="AQ186" s="123"/>
      <c r="AR186" s="123"/>
      <c r="AS186" s="123"/>
      <c r="AT186" s="123"/>
      <c r="AU186" s="123"/>
      <c r="AV186" s="123">
        <v>0.1</v>
      </c>
      <c r="AW186" s="124">
        <f>IF(AK186="","",AK186)</f>
        <v>63136884</v>
      </c>
      <c r="AX186" s="124">
        <f>IF(AK186="","",ROUND(AL186/INT(LEFT(AH186,FIND("m",AH186)-1))*50%,2))</f>
        <v>18986469.350000001</v>
      </c>
      <c r="AY186" s="124">
        <f>IF(AK186="","",ROUND(AL186*40%,2))</f>
        <v>151891754.80000001</v>
      </c>
      <c r="AZ186" s="124">
        <f t="shared" si="36"/>
        <v>37972938.700000003</v>
      </c>
      <c r="BA186" s="21"/>
      <c r="BB186" s="21"/>
      <c r="BC186" s="21"/>
      <c r="BD186" s="21"/>
      <c r="BE186" s="21"/>
      <c r="BF186" s="21"/>
      <c r="BG186" s="21"/>
      <c r="BH186" s="21"/>
      <c r="BI186" s="21"/>
      <c r="BJ186" s="21"/>
    </row>
    <row r="187" spans="1:62" ht="14" x14ac:dyDescent="0.15">
      <c r="A187" s="17">
        <v>183</v>
      </c>
      <c r="B187" s="21" t="s">
        <v>872</v>
      </c>
      <c r="C187" s="15">
        <v>22471448</v>
      </c>
      <c r="D187" s="112">
        <v>45201</v>
      </c>
      <c r="E187" s="21" t="s">
        <v>61</v>
      </c>
      <c r="F187" s="15">
        <v>22471448</v>
      </c>
      <c r="G187" s="21" t="s">
        <v>62</v>
      </c>
      <c r="H187" s="15">
        <f t="shared" si="33"/>
        <v>0</v>
      </c>
      <c r="I187" s="21" t="s">
        <v>289</v>
      </c>
      <c r="J187" s="21" t="s">
        <v>64</v>
      </c>
      <c r="K187" s="21" t="s">
        <v>873</v>
      </c>
      <c r="L187" s="112">
        <v>45201</v>
      </c>
      <c r="M187" s="127">
        <v>176921</v>
      </c>
      <c r="N187" s="114">
        <v>44477</v>
      </c>
      <c r="O187" s="115" t="s">
        <v>66</v>
      </c>
      <c r="P187" s="115" t="s">
        <v>767</v>
      </c>
      <c r="Q187" s="115" t="s">
        <v>476</v>
      </c>
      <c r="R187" s="116" t="s">
        <v>290</v>
      </c>
      <c r="S187" s="115" t="s">
        <v>69</v>
      </c>
      <c r="T187" s="117">
        <v>45202</v>
      </c>
      <c r="U187" s="117"/>
      <c r="V187" s="118">
        <v>22471448</v>
      </c>
      <c r="W187" s="118"/>
      <c r="X187" s="118" t="s">
        <v>1154</v>
      </c>
      <c r="Y187" s="118">
        <f>+V187</f>
        <v>22471448</v>
      </c>
      <c r="Z187" s="118" t="s">
        <v>70</v>
      </c>
      <c r="AA187" s="118"/>
      <c r="AB187" s="119" t="s">
        <v>291</v>
      </c>
      <c r="AC187" s="120">
        <v>45202</v>
      </c>
      <c r="AD187" s="121">
        <v>811036279</v>
      </c>
      <c r="AE187" s="122" t="s">
        <v>1284</v>
      </c>
      <c r="AF187" s="139">
        <v>45202</v>
      </c>
      <c r="AG187" s="140">
        <v>45321</v>
      </c>
      <c r="AH187" s="141" t="s">
        <v>116</v>
      </c>
      <c r="AI187" s="141" t="s">
        <v>874</v>
      </c>
      <c r="AJ187" s="141"/>
      <c r="AK187" s="118">
        <v>0</v>
      </c>
      <c r="AL187" s="118">
        <f>IF(AK187="","",V187-AK187)</f>
        <v>22471448</v>
      </c>
      <c r="AM187" s="142"/>
      <c r="AN187" s="142"/>
      <c r="AO187" s="142"/>
      <c r="AP187" s="142"/>
      <c r="AQ187" s="142"/>
      <c r="AR187" s="142"/>
      <c r="AS187" s="142"/>
      <c r="AT187" s="142"/>
      <c r="AU187" s="142"/>
      <c r="AV187" s="142"/>
      <c r="AW187" s="124"/>
      <c r="AX187" s="124">
        <f>+AL187-AY187-AZ187</f>
        <v>11235724</v>
      </c>
      <c r="AY187" s="124">
        <f>IF(AK187="","",ROUND(AL187*40%,2))</f>
        <v>8988579.1999999993</v>
      </c>
      <c r="AZ187" s="124">
        <f t="shared" si="36"/>
        <v>2247144.7999999998</v>
      </c>
      <c r="BA187" s="21" t="s">
        <v>875</v>
      </c>
      <c r="BB187" s="21"/>
      <c r="BC187" s="21"/>
      <c r="BD187" s="21"/>
      <c r="BE187" s="21"/>
      <c r="BF187" s="21"/>
      <c r="BG187" s="21"/>
      <c r="BH187" s="21"/>
      <c r="BI187" s="21"/>
      <c r="BJ187" s="21"/>
    </row>
    <row r="188" spans="1:62" ht="14" x14ac:dyDescent="0.15">
      <c r="A188" s="17">
        <v>184</v>
      </c>
      <c r="B188" s="16" t="s">
        <v>876</v>
      </c>
      <c r="C188" s="15">
        <v>23750555.050000001</v>
      </c>
      <c r="D188" s="112">
        <v>45201</v>
      </c>
      <c r="E188" s="21" t="s">
        <v>723</v>
      </c>
      <c r="F188" s="15">
        <v>23750555.050000001</v>
      </c>
      <c r="G188" s="21" t="s">
        <v>62</v>
      </c>
      <c r="H188" s="15">
        <f t="shared" si="33"/>
        <v>0</v>
      </c>
      <c r="I188" s="21" t="s">
        <v>501</v>
      </c>
      <c r="J188" s="21" t="s">
        <v>120</v>
      </c>
      <c r="K188" s="21" t="s">
        <v>873</v>
      </c>
      <c r="L188" s="112">
        <v>45201</v>
      </c>
      <c r="M188" s="127">
        <v>335</v>
      </c>
      <c r="N188" s="114">
        <v>45100</v>
      </c>
      <c r="O188" s="115" t="s">
        <v>725</v>
      </c>
      <c r="P188" s="115" t="s">
        <v>877</v>
      </c>
      <c r="Q188" s="115" t="s">
        <v>476</v>
      </c>
      <c r="R188" s="116" t="s">
        <v>502</v>
      </c>
      <c r="S188" s="115" t="s">
        <v>69</v>
      </c>
      <c r="T188" s="117">
        <v>45267</v>
      </c>
      <c r="U188" s="117" t="s">
        <v>124</v>
      </c>
      <c r="V188" s="137">
        <v>23750555.050000001</v>
      </c>
      <c r="W188" s="118"/>
      <c r="X188" s="118" t="s">
        <v>1354</v>
      </c>
      <c r="Y188" s="118">
        <v>23750555.050000001</v>
      </c>
      <c r="Z188" s="125" t="s">
        <v>70</v>
      </c>
      <c r="AA188" s="118"/>
      <c r="AB188" s="119" t="s">
        <v>503</v>
      </c>
      <c r="AC188" s="120">
        <v>45267</v>
      </c>
      <c r="AD188" s="121">
        <v>901590548</v>
      </c>
      <c r="AE188" s="122" t="s">
        <v>1309</v>
      </c>
      <c r="AF188" s="126"/>
      <c r="AG188" s="114">
        <v>45285</v>
      </c>
      <c r="AH188" s="21" t="s">
        <v>683</v>
      </c>
      <c r="AI188" s="21"/>
      <c r="AJ188" s="21"/>
      <c r="AK188" s="118">
        <v>0</v>
      </c>
      <c r="AL188" s="118">
        <f>23750555.05</f>
        <v>23750555.050000001</v>
      </c>
      <c r="AM188" s="142"/>
      <c r="AN188" s="142"/>
      <c r="AO188" s="142"/>
      <c r="AP188" s="142"/>
      <c r="AQ188" s="142"/>
      <c r="AR188" s="142"/>
      <c r="AS188" s="142"/>
      <c r="AT188" s="142"/>
      <c r="AU188" s="142"/>
      <c r="AV188" s="142"/>
      <c r="AW188" s="118"/>
      <c r="AX188" s="124">
        <f>IF(AK188="","",ROUND(AL188/INT(LEFT(AH188,FIND("m",AH188)-1))*90%,0))</f>
        <v>10687750</v>
      </c>
      <c r="AY188" s="124"/>
      <c r="AZ188" s="124">
        <f t="shared" si="36"/>
        <v>2375055.5099999998</v>
      </c>
      <c r="BA188" s="21" t="s">
        <v>299</v>
      </c>
      <c r="BB188" s="21"/>
      <c r="BC188" s="124">
        <f>+AL188*0.9/2</f>
        <v>10687749.772500001</v>
      </c>
      <c r="BD188" s="21"/>
      <c r="BE188" s="21"/>
      <c r="BF188" s="21"/>
      <c r="BG188" s="21"/>
      <c r="BH188" s="21"/>
      <c r="BI188" s="21"/>
      <c r="BJ188" s="21"/>
    </row>
    <row r="189" spans="1:62" ht="14" x14ac:dyDescent="0.15">
      <c r="A189" s="17">
        <v>185</v>
      </c>
      <c r="B189" s="16" t="s">
        <v>878</v>
      </c>
      <c r="C189" s="15">
        <v>65294216</v>
      </c>
      <c r="D189" s="112">
        <v>45201</v>
      </c>
      <c r="E189" s="21" t="s">
        <v>480</v>
      </c>
      <c r="F189" s="15">
        <v>65294216</v>
      </c>
      <c r="G189" s="21" t="s">
        <v>62</v>
      </c>
      <c r="H189" s="15">
        <f t="shared" si="33"/>
        <v>0</v>
      </c>
      <c r="I189" s="21" t="s">
        <v>700</v>
      </c>
      <c r="J189" s="21" t="s">
        <v>141</v>
      </c>
      <c r="K189" s="21" t="s">
        <v>873</v>
      </c>
      <c r="L189" s="112">
        <v>45201</v>
      </c>
      <c r="M189" s="127">
        <v>176921</v>
      </c>
      <c r="N189" s="114">
        <v>44477</v>
      </c>
      <c r="O189" s="115" t="s">
        <v>66</v>
      </c>
      <c r="P189" s="115" t="s">
        <v>767</v>
      </c>
      <c r="Q189" s="115" t="s">
        <v>476</v>
      </c>
      <c r="R189" s="116" t="s">
        <v>705</v>
      </c>
      <c r="S189" s="115" t="s">
        <v>69</v>
      </c>
      <c r="T189" s="117">
        <v>45202</v>
      </c>
      <c r="U189" s="117"/>
      <c r="V189" s="15">
        <v>65294216</v>
      </c>
      <c r="W189" s="15"/>
      <c r="X189" s="118" t="s">
        <v>1154</v>
      </c>
      <c r="Y189" s="15">
        <f>+V189</f>
        <v>65294216</v>
      </c>
      <c r="Z189" s="118" t="s">
        <v>70</v>
      </c>
      <c r="AA189" s="15"/>
      <c r="AB189" s="119" t="s">
        <v>706</v>
      </c>
      <c r="AC189" s="120">
        <v>45202</v>
      </c>
      <c r="AD189" s="121">
        <v>901702657</v>
      </c>
      <c r="AE189" s="122" t="s">
        <v>1334</v>
      </c>
      <c r="AF189" s="126">
        <v>44848</v>
      </c>
      <c r="AG189" s="114">
        <v>45543</v>
      </c>
      <c r="AH189" s="21" t="s">
        <v>163</v>
      </c>
      <c r="AI189" s="21" t="s">
        <v>553</v>
      </c>
      <c r="AJ189" s="21"/>
      <c r="AK189" s="118">
        <v>0</v>
      </c>
      <c r="AL189" s="118">
        <v>65294216</v>
      </c>
      <c r="AM189" s="142"/>
      <c r="AN189" s="142"/>
      <c r="AO189" s="142"/>
      <c r="AP189" s="142"/>
      <c r="AQ189" s="142"/>
      <c r="AR189" s="142"/>
      <c r="AS189" s="142"/>
      <c r="AT189" s="142"/>
      <c r="AU189" s="142"/>
      <c r="AV189" s="142"/>
      <c r="AW189" s="124"/>
      <c r="AX189" s="124">
        <f>IF(AK189="","",ROUND(AL189*0%,2))</f>
        <v>0</v>
      </c>
      <c r="AY189" s="124">
        <f>IF(AK189="","",ROUND(AL189*100%,2))</f>
        <v>65294216</v>
      </c>
      <c r="AZ189" s="124">
        <f>IF(AK189="","",ROUND(AL189*0%,2))</f>
        <v>0</v>
      </c>
      <c r="BA189" s="21" t="s">
        <v>299</v>
      </c>
      <c r="BB189" s="21"/>
      <c r="BC189" s="21"/>
      <c r="BD189" s="21"/>
      <c r="BE189" s="21"/>
      <c r="BF189" s="21"/>
      <c r="BG189" s="21"/>
      <c r="BH189" s="21"/>
      <c r="BI189" s="21"/>
      <c r="BJ189" s="21"/>
    </row>
    <row r="190" spans="1:62" ht="14" x14ac:dyDescent="0.15">
      <c r="A190" s="17">
        <v>186</v>
      </c>
      <c r="B190" s="16" t="s">
        <v>879</v>
      </c>
      <c r="C190" s="15">
        <v>29867512.5</v>
      </c>
      <c r="D190" s="112">
        <v>45216</v>
      </c>
      <c r="E190" s="21" t="s">
        <v>61</v>
      </c>
      <c r="F190" s="15">
        <v>29867512.5</v>
      </c>
      <c r="G190" s="21" t="s">
        <v>62</v>
      </c>
      <c r="H190" s="15">
        <f t="shared" si="33"/>
        <v>0</v>
      </c>
      <c r="I190" s="21" t="s">
        <v>374</v>
      </c>
      <c r="J190" s="21" t="s">
        <v>880</v>
      </c>
      <c r="K190" s="21" t="s">
        <v>881</v>
      </c>
      <c r="L190" s="112">
        <v>45208</v>
      </c>
      <c r="M190" s="127">
        <v>176921</v>
      </c>
      <c r="N190" s="114">
        <v>44477</v>
      </c>
      <c r="O190" s="115" t="s">
        <v>66</v>
      </c>
      <c r="P190" s="115" t="s">
        <v>767</v>
      </c>
      <c r="Q190" s="115" t="s">
        <v>476</v>
      </c>
      <c r="R190" s="116" t="s">
        <v>375</v>
      </c>
      <c r="S190" s="115" t="s">
        <v>69</v>
      </c>
      <c r="T190" s="117"/>
      <c r="U190" s="117" t="s">
        <v>124</v>
      </c>
      <c r="V190" s="15">
        <v>0</v>
      </c>
      <c r="W190" s="15"/>
      <c r="X190" s="15"/>
      <c r="Y190" s="15"/>
      <c r="Z190" s="118" t="s">
        <v>70</v>
      </c>
      <c r="AA190" s="15"/>
      <c r="AB190" s="119" t="s">
        <v>376</v>
      </c>
      <c r="AC190" s="120"/>
      <c r="AD190" s="121"/>
      <c r="AE190" s="122" t="s">
        <v>1159</v>
      </c>
      <c r="AF190" s="126"/>
      <c r="AG190" s="114"/>
      <c r="AH190" s="21"/>
      <c r="AI190" s="21"/>
      <c r="AJ190" s="21"/>
      <c r="AK190" s="118"/>
      <c r="AL190" s="118"/>
      <c r="AM190" s="142"/>
      <c r="AN190" s="142"/>
      <c r="AO190" s="142"/>
      <c r="AP190" s="142"/>
      <c r="AQ190" s="142"/>
      <c r="AR190" s="142"/>
      <c r="AS190" s="142"/>
      <c r="AT190" s="142"/>
      <c r="AU190" s="142"/>
      <c r="AV190" s="142"/>
      <c r="AW190" s="124"/>
      <c r="AX190" s="124"/>
      <c r="AY190" s="124"/>
      <c r="AZ190" s="124"/>
      <c r="BA190" s="21"/>
      <c r="BB190" s="21"/>
      <c r="BC190" s="21"/>
      <c r="BD190" s="21"/>
      <c r="BE190" s="21"/>
      <c r="BF190" s="21"/>
      <c r="BG190" s="21"/>
      <c r="BH190" s="21"/>
      <c r="BI190" s="21"/>
      <c r="BJ190" s="21"/>
    </row>
    <row r="191" spans="1:62" ht="14" x14ac:dyDescent="0.15">
      <c r="A191" s="17">
        <v>187</v>
      </c>
      <c r="B191" s="16" t="s">
        <v>879</v>
      </c>
      <c r="C191" s="15">
        <v>29867512.5</v>
      </c>
      <c r="D191" s="112">
        <v>45216</v>
      </c>
      <c r="E191" s="21" t="s">
        <v>61</v>
      </c>
      <c r="F191" s="15">
        <v>29867512.5</v>
      </c>
      <c r="G191" s="21" t="s">
        <v>62</v>
      </c>
      <c r="H191" s="15">
        <f t="shared" si="33"/>
        <v>0</v>
      </c>
      <c r="I191" s="21" t="s">
        <v>374</v>
      </c>
      <c r="J191" s="21" t="s">
        <v>880</v>
      </c>
      <c r="K191" s="21" t="s">
        <v>882</v>
      </c>
      <c r="L191" s="112">
        <v>45216</v>
      </c>
      <c r="M191" s="127">
        <v>176921</v>
      </c>
      <c r="N191" s="114">
        <v>44477</v>
      </c>
      <c r="O191" s="115" t="s">
        <v>66</v>
      </c>
      <c r="P191" s="115" t="s">
        <v>767</v>
      </c>
      <c r="Q191" s="115" t="s">
        <v>883</v>
      </c>
      <c r="R191" s="116" t="s">
        <v>375</v>
      </c>
      <c r="S191" s="115" t="s">
        <v>69</v>
      </c>
      <c r="T191" s="117">
        <v>45216</v>
      </c>
      <c r="U191" s="117"/>
      <c r="V191" s="15">
        <v>29867512.5</v>
      </c>
      <c r="W191" s="15"/>
      <c r="X191" s="118" t="s">
        <v>1154</v>
      </c>
      <c r="Y191" s="15">
        <f>+V191</f>
        <v>29867512.5</v>
      </c>
      <c r="Z191" s="118" t="s">
        <v>70</v>
      </c>
      <c r="AA191" s="15"/>
      <c r="AB191" s="119" t="s">
        <v>376</v>
      </c>
      <c r="AC191" s="120">
        <v>45216</v>
      </c>
      <c r="AD191" s="121">
        <v>901582248</v>
      </c>
      <c r="AE191" s="122" t="s">
        <v>1295</v>
      </c>
      <c r="AF191" s="126"/>
      <c r="AG191" s="114">
        <v>45351</v>
      </c>
      <c r="AH191" s="21" t="s">
        <v>748</v>
      </c>
      <c r="AI191" s="21"/>
      <c r="AJ191" s="21"/>
      <c r="AK191" s="118">
        <v>0</v>
      </c>
      <c r="AL191" s="15">
        <v>29867512.5</v>
      </c>
      <c r="AM191" s="142"/>
      <c r="AN191" s="142"/>
      <c r="AO191" s="142"/>
      <c r="AP191" s="142"/>
      <c r="AQ191" s="142"/>
      <c r="AR191" s="142"/>
      <c r="AS191" s="142"/>
      <c r="AT191" s="142"/>
      <c r="AU191" s="142"/>
      <c r="AV191" s="142"/>
      <c r="AW191" s="124"/>
      <c r="AX191" s="124">
        <f>IF(AK191="","",ROUND(AL191/INT(LEFT(AH191,FIND("m",AH191)-1))*90%,0))</f>
        <v>8960254</v>
      </c>
      <c r="AY191" s="124">
        <f>IF(AK191="","",ROUND(AL191*0%,2))</f>
        <v>0</v>
      </c>
      <c r="AZ191" s="124">
        <f t="shared" ref="AZ191:AZ198" si="37">IF(AK191="","",ROUND(AL191*10%,2))</f>
        <v>2986751.25</v>
      </c>
      <c r="BA191" s="21"/>
      <c r="BB191" s="21"/>
      <c r="BC191" s="21"/>
      <c r="BD191" s="21"/>
      <c r="BE191" s="21"/>
      <c r="BF191" s="21"/>
      <c r="BG191" s="21"/>
      <c r="BH191" s="21"/>
      <c r="BI191" s="21"/>
      <c r="BJ191" s="21"/>
    </row>
    <row r="192" spans="1:62" ht="14" x14ac:dyDescent="0.15">
      <c r="A192" s="17">
        <v>188</v>
      </c>
      <c r="B192" s="16" t="s">
        <v>884</v>
      </c>
      <c r="C192" s="15">
        <v>140000000</v>
      </c>
      <c r="D192" s="112">
        <v>45222</v>
      </c>
      <c r="E192" s="21" t="s">
        <v>723</v>
      </c>
      <c r="F192" s="15">
        <v>140000000</v>
      </c>
      <c r="G192" s="21" t="s">
        <v>62</v>
      </c>
      <c r="H192" s="15">
        <f t="shared" si="33"/>
        <v>0</v>
      </c>
      <c r="I192" s="21" t="s">
        <v>443</v>
      </c>
      <c r="J192" s="21" t="s">
        <v>64</v>
      </c>
      <c r="K192" s="21" t="s">
        <v>885</v>
      </c>
      <c r="L192" s="112">
        <v>45222</v>
      </c>
      <c r="M192" s="122" t="s">
        <v>886</v>
      </c>
      <c r="N192" s="114">
        <v>44932</v>
      </c>
      <c r="O192" s="115" t="s">
        <v>725</v>
      </c>
      <c r="P192" s="115" t="s">
        <v>887</v>
      </c>
      <c r="Q192" s="115" t="s">
        <v>476</v>
      </c>
      <c r="R192" s="116" t="s">
        <v>445</v>
      </c>
      <c r="S192" s="115" t="s">
        <v>69</v>
      </c>
      <c r="T192" s="117"/>
      <c r="U192" s="117" t="s">
        <v>124</v>
      </c>
      <c r="V192" s="137">
        <v>140000000</v>
      </c>
      <c r="W192" s="15"/>
      <c r="X192" s="15"/>
      <c r="Y192" s="118">
        <v>140000000</v>
      </c>
      <c r="Z192" s="118" t="s">
        <v>70</v>
      </c>
      <c r="AA192" s="15"/>
      <c r="AB192" s="119" t="s">
        <v>446</v>
      </c>
      <c r="AC192" s="120"/>
      <c r="AD192" s="121">
        <v>811036279</v>
      </c>
      <c r="AE192" s="122" t="s">
        <v>1284</v>
      </c>
      <c r="AF192" s="126"/>
      <c r="AG192" s="114">
        <v>45414</v>
      </c>
      <c r="AH192" s="21" t="s">
        <v>768</v>
      </c>
      <c r="AI192" s="21"/>
      <c r="AJ192" s="21"/>
      <c r="AK192" s="118">
        <v>0</v>
      </c>
      <c r="AL192" s="15">
        <v>140000000</v>
      </c>
      <c r="AM192" s="142"/>
      <c r="AN192" s="142"/>
      <c r="AO192" s="142"/>
      <c r="AP192" s="142"/>
      <c r="AQ192" s="142"/>
      <c r="AR192" s="142"/>
      <c r="AS192" s="142"/>
      <c r="AT192" s="142"/>
      <c r="AU192" s="142"/>
      <c r="AV192" s="142"/>
      <c r="AW192" s="124"/>
      <c r="AX192" s="124">
        <f>IF(AK192="","",ROUND(AL192/INT(LEFT(AH192,FIND("m",AH192)-1))*50%,0))</f>
        <v>17500000</v>
      </c>
      <c r="AY192" s="124">
        <f>IF(AK192="","",ROUND(AL192*40%,2))</f>
        <v>56000000</v>
      </c>
      <c r="AZ192" s="124">
        <f t="shared" si="37"/>
        <v>14000000</v>
      </c>
      <c r="BA192" s="21" t="s">
        <v>299</v>
      </c>
      <c r="BB192" s="21"/>
      <c r="BC192" s="21"/>
      <c r="BD192" s="21"/>
      <c r="BE192" s="21"/>
      <c r="BF192" s="21"/>
      <c r="BG192" s="21"/>
      <c r="BH192" s="21"/>
      <c r="BI192" s="21"/>
      <c r="BJ192" s="21"/>
    </row>
    <row r="193" spans="1:62" ht="14" x14ac:dyDescent="0.15">
      <c r="A193" s="17">
        <v>189</v>
      </c>
      <c r="B193" s="16" t="s">
        <v>888</v>
      </c>
      <c r="C193" s="15">
        <v>231318990</v>
      </c>
      <c r="D193" s="112">
        <v>45240</v>
      </c>
      <c r="E193" s="21" t="s">
        <v>85</v>
      </c>
      <c r="F193" s="15">
        <f t="shared" ref="F193:F206" si="38">C193</f>
        <v>231318990</v>
      </c>
      <c r="G193" s="21" t="s">
        <v>62</v>
      </c>
      <c r="H193" s="15">
        <f t="shared" si="33"/>
        <v>0</v>
      </c>
      <c r="I193" s="21" t="s">
        <v>889</v>
      </c>
      <c r="J193" s="21" t="s">
        <v>64</v>
      </c>
      <c r="K193" s="21" t="s">
        <v>618</v>
      </c>
      <c r="L193" s="112">
        <v>45240</v>
      </c>
      <c r="M193" s="127">
        <v>9622</v>
      </c>
      <c r="N193" s="114">
        <v>44567</v>
      </c>
      <c r="O193" s="115" t="s">
        <v>66</v>
      </c>
      <c r="P193" s="115" t="s">
        <v>767</v>
      </c>
      <c r="Q193" s="122" t="s">
        <v>890</v>
      </c>
      <c r="R193" s="116" t="s">
        <v>891</v>
      </c>
      <c r="S193" s="115" t="s">
        <v>69</v>
      </c>
      <c r="T193" s="117">
        <v>45288</v>
      </c>
      <c r="U193" s="117"/>
      <c r="V193" s="118">
        <v>219498590</v>
      </c>
      <c r="W193" s="118">
        <f>+V193</f>
        <v>219498590</v>
      </c>
      <c r="X193" s="118" t="s">
        <v>1154</v>
      </c>
      <c r="Y193" s="118"/>
      <c r="Z193" s="118" t="s">
        <v>70</v>
      </c>
      <c r="AA193" s="118"/>
      <c r="AB193" s="119" t="s">
        <v>892</v>
      </c>
      <c r="AC193" s="120">
        <v>45313</v>
      </c>
      <c r="AD193" s="121">
        <v>811036279</v>
      </c>
      <c r="AE193" s="122" t="s">
        <v>1284</v>
      </c>
      <c r="AF193" s="126"/>
      <c r="AG193" s="114">
        <v>45708</v>
      </c>
      <c r="AH193" s="21" t="s">
        <v>600</v>
      </c>
      <c r="AI193" s="21"/>
      <c r="AJ193" s="21"/>
      <c r="AK193" s="118">
        <v>41680405</v>
      </c>
      <c r="AL193" s="118">
        <f>IF(AK193="","",V193-AK193)</f>
        <v>177818185</v>
      </c>
      <c r="AM193" s="123"/>
      <c r="AN193" s="123"/>
      <c r="AO193" s="123"/>
      <c r="AP193" s="123"/>
      <c r="AQ193" s="123"/>
      <c r="AR193" s="123"/>
      <c r="AS193" s="123"/>
      <c r="AT193" s="123"/>
      <c r="AU193" s="123"/>
      <c r="AV193" s="123">
        <v>0.1</v>
      </c>
      <c r="AW193" s="124">
        <f>+AK193</f>
        <v>41680405</v>
      </c>
      <c r="AX193" s="124">
        <f>IF(AK193="","",ROUND(AL193/INT(LEFT(AH193,FIND("m",AH193)-1))*50%,2))</f>
        <v>14818182.08</v>
      </c>
      <c r="AY193" s="124">
        <f>IF(AK193="","",ROUND(AL193*40%,2))</f>
        <v>71127274</v>
      </c>
      <c r="AZ193" s="124">
        <f t="shared" si="37"/>
        <v>17781818.5</v>
      </c>
      <c r="BA193" s="21"/>
      <c r="BB193" s="21"/>
      <c r="BC193" s="21"/>
      <c r="BD193" s="21"/>
      <c r="BE193" s="21"/>
      <c r="BF193" s="21"/>
      <c r="BG193" s="21"/>
      <c r="BH193" s="21"/>
      <c r="BI193" s="21"/>
      <c r="BJ193" s="21"/>
    </row>
    <row r="194" spans="1:62" ht="14" x14ac:dyDescent="0.15">
      <c r="A194" s="17">
        <v>190</v>
      </c>
      <c r="B194" s="16" t="s">
        <v>893</v>
      </c>
      <c r="C194" s="15">
        <v>1390216202</v>
      </c>
      <c r="D194" s="112">
        <v>45240</v>
      </c>
      <c r="E194" s="21" t="s">
        <v>480</v>
      </c>
      <c r="F194" s="15">
        <f t="shared" si="38"/>
        <v>1390216202</v>
      </c>
      <c r="G194" s="21" t="s">
        <v>62</v>
      </c>
      <c r="H194" s="15">
        <f t="shared" si="33"/>
        <v>0</v>
      </c>
      <c r="I194" s="21" t="s">
        <v>889</v>
      </c>
      <c r="J194" s="21" t="s">
        <v>64</v>
      </c>
      <c r="K194" s="21" t="s">
        <v>618</v>
      </c>
      <c r="L194" s="112">
        <v>45240</v>
      </c>
      <c r="M194" s="127">
        <v>9622</v>
      </c>
      <c r="N194" s="114">
        <v>44567</v>
      </c>
      <c r="O194" s="115" t="s">
        <v>66</v>
      </c>
      <c r="P194" s="115" t="s">
        <v>767</v>
      </c>
      <c r="Q194" s="122" t="s">
        <v>890</v>
      </c>
      <c r="R194" s="116" t="s">
        <v>894</v>
      </c>
      <c r="S194" s="115" t="s">
        <v>69</v>
      </c>
      <c r="T194" s="117">
        <v>45288</v>
      </c>
      <c r="U194" s="117"/>
      <c r="V194" s="118">
        <v>1343399509</v>
      </c>
      <c r="W194" s="118">
        <f>+V194</f>
        <v>1343399509</v>
      </c>
      <c r="X194" s="118" t="s">
        <v>1154</v>
      </c>
      <c r="Y194" s="118"/>
      <c r="Z194" s="118" t="s">
        <v>70</v>
      </c>
      <c r="AA194" s="118"/>
      <c r="AB194" s="119" t="s">
        <v>895</v>
      </c>
      <c r="AC194" s="120">
        <v>45348</v>
      </c>
      <c r="AD194" s="121">
        <v>901793092</v>
      </c>
      <c r="AE194" s="122" t="s">
        <v>896</v>
      </c>
      <c r="AF194" s="126"/>
      <c r="AG194" s="114"/>
      <c r="AH194" s="21" t="s">
        <v>610</v>
      </c>
      <c r="AI194" s="21"/>
      <c r="AJ194" s="21"/>
      <c r="AK194" s="118">
        <v>64254213</v>
      </c>
      <c r="AL194" s="118">
        <f>IF(AK194="","",V194-AK194)</f>
        <v>1279145296</v>
      </c>
      <c r="AM194" s="143">
        <v>0.32919999999999999</v>
      </c>
      <c r="AN194" s="143">
        <v>0.02</v>
      </c>
      <c r="AO194" s="143">
        <v>0.05</v>
      </c>
      <c r="AP194" s="123">
        <v>0.19</v>
      </c>
      <c r="AQ194" s="144">
        <v>908032438</v>
      </c>
      <c r="AR194" s="144">
        <f>+AQ194*$AM$194</f>
        <v>298924278.58959997</v>
      </c>
      <c r="AS194" s="144">
        <f>+AQ194*$AN$194</f>
        <v>18160648.760000002</v>
      </c>
      <c r="AT194" s="144">
        <f>+AQ194*$AO$194</f>
        <v>45401621.900000006</v>
      </c>
      <c r="AU194" s="144">
        <f>+AT194*19%</f>
        <v>8626308.1610000003</v>
      </c>
      <c r="AV194" s="123">
        <v>0.1</v>
      </c>
      <c r="AW194" s="124">
        <f>+AK194</f>
        <v>64254213</v>
      </c>
      <c r="AX194" s="124">
        <f>IF(AK194="","",ROUND(AL194/INT(LEFT(AH194,FIND("m",AH194)-1))*50%,2))</f>
        <v>159893162</v>
      </c>
      <c r="AY194" s="124">
        <f>IF(AK194="","",ROUND(AL194*40%,2))</f>
        <v>511658118.39999998</v>
      </c>
      <c r="AZ194" s="124">
        <f t="shared" si="37"/>
        <v>127914529.59999999</v>
      </c>
      <c r="BA194" s="21"/>
      <c r="BB194" s="21"/>
      <c r="BC194" s="21"/>
      <c r="BD194" s="21"/>
      <c r="BE194" s="21"/>
      <c r="BF194" s="21"/>
      <c r="BG194" s="21"/>
      <c r="BH194" s="21"/>
      <c r="BI194" s="21"/>
      <c r="BJ194" s="21"/>
    </row>
    <row r="195" spans="1:62" ht="14" x14ac:dyDescent="0.15">
      <c r="A195" s="17">
        <v>191</v>
      </c>
      <c r="B195" s="16" t="s">
        <v>897</v>
      </c>
      <c r="C195" s="15">
        <v>15000000</v>
      </c>
      <c r="D195" s="112">
        <v>45244</v>
      </c>
      <c r="E195" s="21" t="s">
        <v>723</v>
      </c>
      <c r="F195" s="15">
        <f t="shared" si="38"/>
        <v>15000000</v>
      </c>
      <c r="G195" s="21" t="s">
        <v>62</v>
      </c>
      <c r="H195" s="15">
        <f t="shared" si="33"/>
        <v>0</v>
      </c>
      <c r="I195" s="21" t="s">
        <v>369</v>
      </c>
      <c r="J195" s="21" t="s">
        <v>898</v>
      </c>
      <c r="K195" s="21" t="s">
        <v>899</v>
      </c>
      <c r="L195" s="112">
        <v>45244</v>
      </c>
      <c r="M195" s="122" t="s">
        <v>900</v>
      </c>
      <c r="N195" s="114">
        <v>45194</v>
      </c>
      <c r="O195" s="122" t="s">
        <v>830</v>
      </c>
      <c r="P195" s="115" t="s">
        <v>901</v>
      </c>
      <c r="Q195" s="122" t="s">
        <v>902</v>
      </c>
      <c r="R195" s="116" t="s">
        <v>370</v>
      </c>
      <c r="S195" s="115" t="s">
        <v>69</v>
      </c>
      <c r="T195" s="117">
        <v>45244</v>
      </c>
      <c r="U195" s="117" t="s">
        <v>124</v>
      </c>
      <c r="V195" s="137">
        <v>15000000</v>
      </c>
      <c r="W195" s="118"/>
      <c r="X195" s="118" t="s">
        <v>1117</v>
      </c>
      <c r="Y195" s="118">
        <v>15000000</v>
      </c>
      <c r="Z195" s="118" t="s">
        <v>79</v>
      </c>
      <c r="AA195" s="118"/>
      <c r="AB195" s="119" t="s">
        <v>371</v>
      </c>
      <c r="AC195" s="120">
        <v>45251</v>
      </c>
      <c r="AD195" s="121">
        <v>802008390</v>
      </c>
      <c r="AE195" s="122" t="s">
        <v>1294</v>
      </c>
      <c r="AF195" s="126"/>
      <c r="AG195" s="114">
        <v>45348</v>
      </c>
      <c r="AH195" s="21" t="s">
        <v>683</v>
      </c>
      <c r="AI195" s="21" t="s">
        <v>903</v>
      </c>
      <c r="AJ195" s="21"/>
      <c r="AK195" s="118">
        <v>0</v>
      </c>
      <c r="AL195" s="118">
        <f>IF(AK195="","",V195-AK195)</f>
        <v>15000000</v>
      </c>
      <c r="AM195" s="123"/>
      <c r="AN195" s="123"/>
      <c r="AO195" s="123"/>
      <c r="AP195" s="123"/>
      <c r="AQ195" s="123"/>
      <c r="AR195" s="123"/>
      <c r="AS195" s="123"/>
      <c r="AT195" s="123"/>
      <c r="AU195" s="123"/>
      <c r="AV195" s="123">
        <v>0.1</v>
      </c>
      <c r="AW195" s="124"/>
      <c r="AX195" s="124">
        <f>IF(AK195="","",ROUND(AL195/INT(LEFT(AH195,FIND("m",AH195)-1))*90%,2))</f>
        <v>6750000</v>
      </c>
      <c r="AY195" s="124"/>
      <c r="AZ195" s="124">
        <f t="shared" si="37"/>
        <v>1500000</v>
      </c>
      <c r="BA195" s="21" t="s">
        <v>117</v>
      </c>
      <c r="BB195" s="21"/>
      <c r="BC195" s="21"/>
      <c r="BD195" s="21"/>
      <c r="BE195" s="21"/>
      <c r="BF195" s="21"/>
      <c r="BG195" s="21"/>
      <c r="BH195" s="21"/>
      <c r="BI195" s="21"/>
      <c r="BJ195" s="21"/>
    </row>
    <row r="196" spans="1:62" ht="14" x14ac:dyDescent="0.15">
      <c r="A196" s="17">
        <v>192</v>
      </c>
      <c r="B196" s="16" t="s">
        <v>904</v>
      </c>
      <c r="C196" s="15">
        <v>88000000</v>
      </c>
      <c r="D196" s="112">
        <v>45244</v>
      </c>
      <c r="E196" s="21" t="s">
        <v>723</v>
      </c>
      <c r="F196" s="15">
        <f t="shared" si="38"/>
        <v>88000000</v>
      </c>
      <c r="G196" s="21" t="s">
        <v>62</v>
      </c>
      <c r="H196" s="15">
        <f t="shared" si="33"/>
        <v>0</v>
      </c>
      <c r="I196" s="21" t="s">
        <v>363</v>
      </c>
      <c r="J196" s="21" t="s">
        <v>253</v>
      </c>
      <c r="K196" s="21" t="s">
        <v>905</v>
      </c>
      <c r="L196" s="112">
        <v>45244</v>
      </c>
      <c r="M196" s="127">
        <v>10090004</v>
      </c>
      <c r="N196" s="114">
        <v>45208</v>
      </c>
      <c r="O196" s="122" t="s">
        <v>830</v>
      </c>
      <c r="P196" s="115" t="s">
        <v>906</v>
      </c>
      <c r="Q196" s="21" t="s">
        <v>907</v>
      </c>
      <c r="R196" s="116" t="s">
        <v>364</v>
      </c>
      <c r="S196" s="115" t="s">
        <v>69</v>
      </c>
      <c r="T196" s="120">
        <v>45251</v>
      </c>
      <c r="U196" s="117" t="s">
        <v>124</v>
      </c>
      <c r="V196" s="137">
        <v>88000000</v>
      </c>
      <c r="W196" s="118"/>
      <c r="X196" s="118" t="s">
        <v>1117</v>
      </c>
      <c r="Y196" s="118">
        <v>88000000</v>
      </c>
      <c r="Z196" s="118" t="s">
        <v>70</v>
      </c>
      <c r="AA196" s="118"/>
      <c r="AB196" s="119" t="s">
        <v>365</v>
      </c>
      <c r="AC196" s="120">
        <v>45251</v>
      </c>
      <c r="AD196" s="121">
        <v>87069865</v>
      </c>
      <c r="AE196" s="122" t="s">
        <v>1268</v>
      </c>
      <c r="AF196" s="126"/>
      <c r="AG196" s="114">
        <v>45323</v>
      </c>
      <c r="AH196" s="21" t="s">
        <v>683</v>
      </c>
      <c r="AI196" s="21"/>
      <c r="AJ196" s="21"/>
      <c r="AK196" s="118">
        <v>0</v>
      </c>
      <c r="AL196" s="118">
        <f>IF(AK196="","",V196-AK196)</f>
        <v>88000000</v>
      </c>
      <c r="AM196" s="123"/>
      <c r="AN196" s="123"/>
      <c r="AO196" s="123"/>
      <c r="AP196" s="123"/>
      <c r="AQ196" s="123"/>
      <c r="AR196" s="123"/>
      <c r="AS196" s="123"/>
      <c r="AT196" s="123"/>
      <c r="AU196" s="123"/>
      <c r="AV196" s="123"/>
      <c r="AW196" s="124"/>
      <c r="AX196" s="124">
        <f>IF(AK196="","",ROUND(AL196/INT(LEFT(AH196,FIND("m",AH196)-1))*90%,2))</f>
        <v>39600000</v>
      </c>
      <c r="AY196" s="124"/>
      <c r="AZ196" s="124">
        <f t="shared" si="37"/>
        <v>8800000</v>
      </c>
      <c r="BA196" s="21"/>
      <c r="BB196" s="21"/>
      <c r="BC196" s="21"/>
      <c r="BD196" s="21"/>
      <c r="BE196" s="21"/>
      <c r="BF196" s="21"/>
      <c r="BG196" s="21"/>
      <c r="BH196" s="21"/>
      <c r="BI196" s="21"/>
      <c r="BJ196" s="21"/>
    </row>
    <row r="197" spans="1:62" ht="14" x14ac:dyDescent="0.15">
      <c r="A197" s="17">
        <v>193</v>
      </c>
      <c r="B197" s="16" t="s">
        <v>908</v>
      </c>
      <c r="C197" s="15">
        <v>44000000</v>
      </c>
      <c r="D197" s="112">
        <v>45282</v>
      </c>
      <c r="E197" s="21" t="s">
        <v>723</v>
      </c>
      <c r="F197" s="15">
        <f t="shared" si="38"/>
        <v>44000000</v>
      </c>
      <c r="G197" s="21" t="s">
        <v>62</v>
      </c>
      <c r="H197" s="15">
        <f t="shared" si="33"/>
        <v>0</v>
      </c>
      <c r="I197" s="21" t="s">
        <v>363</v>
      </c>
      <c r="J197" s="21" t="s">
        <v>253</v>
      </c>
      <c r="K197" s="21" t="s">
        <v>909</v>
      </c>
      <c r="L197" s="112">
        <v>45282</v>
      </c>
      <c r="M197" s="127">
        <v>11240003</v>
      </c>
      <c r="N197" s="114">
        <v>45254</v>
      </c>
      <c r="O197" s="122" t="s">
        <v>830</v>
      </c>
      <c r="P197" s="115" t="s">
        <v>906</v>
      </c>
      <c r="Q197" s="21" t="s">
        <v>910</v>
      </c>
      <c r="R197" s="116" t="s">
        <v>364</v>
      </c>
      <c r="S197" s="115" t="s">
        <v>69</v>
      </c>
      <c r="T197" s="120">
        <v>45288</v>
      </c>
      <c r="U197" s="117" t="s">
        <v>124</v>
      </c>
      <c r="V197" s="137">
        <v>44000000</v>
      </c>
      <c r="W197" s="118"/>
      <c r="X197" s="118" t="s">
        <v>1117</v>
      </c>
      <c r="Y197" s="118">
        <v>44000000</v>
      </c>
      <c r="Z197" s="118" t="s">
        <v>70</v>
      </c>
      <c r="AA197" s="118"/>
      <c r="AB197" s="119" t="s">
        <v>365</v>
      </c>
      <c r="AC197" s="120">
        <v>45288</v>
      </c>
      <c r="AD197" s="121">
        <v>87069865</v>
      </c>
      <c r="AE197" s="122" t="s">
        <v>1268</v>
      </c>
      <c r="AF197" s="126"/>
      <c r="AG197" s="114">
        <v>45352</v>
      </c>
      <c r="AH197" s="21" t="s">
        <v>326</v>
      </c>
      <c r="AI197" s="21"/>
      <c r="AJ197" s="21"/>
      <c r="AK197" s="118">
        <v>0</v>
      </c>
      <c r="AL197" s="124">
        <v>44000000</v>
      </c>
      <c r="AM197" s="123"/>
      <c r="AN197" s="123"/>
      <c r="AO197" s="123"/>
      <c r="AP197" s="123"/>
      <c r="AQ197" s="123"/>
      <c r="AR197" s="123"/>
      <c r="AS197" s="123"/>
      <c r="AT197" s="123"/>
      <c r="AU197" s="123"/>
      <c r="AV197" s="123"/>
      <c r="AW197" s="124"/>
      <c r="AX197" s="124">
        <f>IF(AK197="","",ROUND(AL197/INT(LEFT(AH197,FIND("m",AH197)-1))*90%,2))</f>
        <v>39600000</v>
      </c>
      <c r="AY197" s="124"/>
      <c r="AZ197" s="124">
        <f t="shared" si="37"/>
        <v>4400000</v>
      </c>
      <c r="BA197" s="21"/>
      <c r="BB197" s="21"/>
      <c r="BC197" s="21"/>
      <c r="BD197" s="21"/>
      <c r="BE197" s="21"/>
      <c r="BF197" s="21"/>
      <c r="BG197" s="21"/>
      <c r="BH197" s="21"/>
      <c r="BI197" s="21"/>
      <c r="BJ197" s="21"/>
    </row>
    <row r="198" spans="1:62" ht="14" x14ac:dyDescent="0.15">
      <c r="A198" s="17">
        <v>194</v>
      </c>
      <c r="B198" s="16" t="s">
        <v>911</v>
      </c>
      <c r="C198" s="15">
        <v>108997236</v>
      </c>
      <c r="D198" s="112">
        <v>45282</v>
      </c>
      <c r="E198" s="21" t="s">
        <v>61</v>
      </c>
      <c r="F198" s="15">
        <f t="shared" si="38"/>
        <v>108997236</v>
      </c>
      <c r="G198" s="21" t="s">
        <v>62</v>
      </c>
      <c r="H198" s="15">
        <f t="shared" si="33"/>
        <v>0</v>
      </c>
      <c r="I198" s="21" t="s">
        <v>141</v>
      </c>
      <c r="J198" s="21" t="s">
        <v>912</v>
      </c>
      <c r="K198" s="21" t="s">
        <v>913</v>
      </c>
      <c r="L198" s="112">
        <v>45282</v>
      </c>
      <c r="M198" s="127">
        <v>176921</v>
      </c>
      <c r="N198" s="114">
        <v>44477</v>
      </c>
      <c r="O198" s="122" t="s">
        <v>66</v>
      </c>
      <c r="P198" s="115" t="s">
        <v>767</v>
      </c>
      <c r="Q198" s="122" t="s">
        <v>730</v>
      </c>
      <c r="R198" s="116" t="s">
        <v>204</v>
      </c>
      <c r="S198" s="115" t="s">
        <v>69</v>
      </c>
      <c r="T198" s="120">
        <v>45288</v>
      </c>
      <c r="U198" s="117"/>
      <c r="V198" s="118">
        <f>F198</f>
        <v>108997236</v>
      </c>
      <c r="W198" s="118"/>
      <c r="X198" s="118" t="s">
        <v>1154</v>
      </c>
      <c r="Y198" s="118">
        <f>+V198</f>
        <v>108997236</v>
      </c>
      <c r="Z198" s="125" t="s">
        <v>70</v>
      </c>
      <c r="AA198" s="118"/>
      <c r="AB198" s="119" t="s">
        <v>205</v>
      </c>
      <c r="AC198" s="120">
        <v>45288</v>
      </c>
      <c r="AD198" s="121">
        <v>87069865</v>
      </c>
      <c r="AE198" s="122" t="s">
        <v>1268</v>
      </c>
      <c r="AF198" s="126"/>
      <c r="AG198" s="114">
        <v>45401</v>
      </c>
      <c r="AH198" s="21" t="s">
        <v>914</v>
      </c>
      <c r="AI198" s="21" t="s">
        <v>915</v>
      </c>
      <c r="AJ198" s="21"/>
      <c r="AK198" s="118">
        <v>0</v>
      </c>
      <c r="AL198" s="118">
        <f>V198</f>
        <v>108997236</v>
      </c>
      <c r="AM198" s="123"/>
      <c r="AN198" s="123"/>
      <c r="AO198" s="123"/>
      <c r="AP198" s="123"/>
      <c r="AQ198" s="123"/>
      <c r="AR198" s="123"/>
      <c r="AS198" s="123"/>
      <c r="AT198" s="123"/>
      <c r="AU198" s="123"/>
      <c r="AV198" s="123">
        <v>0.1</v>
      </c>
      <c r="AW198" s="124"/>
      <c r="AX198" s="124">
        <f>IF(AK198="","",ROUND(AL198/INT(LEFT(AH198,FIND("m",AH198)-1))*90%,2))</f>
        <v>32699170.800000001</v>
      </c>
      <c r="AY198" s="124">
        <f>IF(AK198="","",ROUND(AL198*0%,2))</f>
        <v>0</v>
      </c>
      <c r="AZ198" s="124">
        <f t="shared" si="37"/>
        <v>10899723.6</v>
      </c>
      <c r="BA198" s="21"/>
      <c r="BB198" s="21"/>
      <c r="BC198" s="21"/>
      <c r="BD198" s="21"/>
      <c r="BE198" s="21"/>
      <c r="BF198" s="21"/>
      <c r="BG198" s="21"/>
      <c r="BH198" s="21"/>
      <c r="BI198" s="21"/>
      <c r="BJ198" s="21"/>
    </row>
    <row r="199" spans="1:62" ht="14" x14ac:dyDescent="0.15">
      <c r="A199" s="17">
        <v>195</v>
      </c>
      <c r="B199" s="16" t="s">
        <v>916</v>
      </c>
      <c r="C199" s="15">
        <v>24326009</v>
      </c>
      <c r="D199" s="112">
        <v>45283</v>
      </c>
      <c r="E199" s="21" t="s">
        <v>723</v>
      </c>
      <c r="F199" s="15">
        <f t="shared" si="38"/>
        <v>24326009</v>
      </c>
      <c r="G199" s="21" t="s">
        <v>62</v>
      </c>
      <c r="H199" s="15">
        <f t="shared" si="33"/>
        <v>0</v>
      </c>
      <c r="I199" s="21" t="s">
        <v>389</v>
      </c>
      <c r="J199" s="21" t="s">
        <v>223</v>
      </c>
      <c r="K199" s="21" t="s">
        <v>917</v>
      </c>
      <c r="L199" s="112">
        <v>45282</v>
      </c>
      <c r="M199" s="122" t="s">
        <v>918</v>
      </c>
      <c r="N199" s="114">
        <v>45099</v>
      </c>
      <c r="O199" s="122" t="s">
        <v>830</v>
      </c>
      <c r="P199" s="115" t="s">
        <v>919</v>
      </c>
      <c r="Q199" s="21" t="s">
        <v>920</v>
      </c>
      <c r="R199" s="116" t="s">
        <v>390</v>
      </c>
      <c r="S199" s="115" t="s">
        <v>69</v>
      </c>
      <c r="T199" s="120">
        <v>45288</v>
      </c>
      <c r="U199" s="117" t="s">
        <v>124</v>
      </c>
      <c r="V199" s="137">
        <v>24326009</v>
      </c>
      <c r="W199" s="118"/>
      <c r="X199" s="118" t="s">
        <v>1117</v>
      </c>
      <c r="Y199" s="118">
        <v>24326009</v>
      </c>
      <c r="Z199" s="118" t="s">
        <v>79</v>
      </c>
      <c r="AA199" s="118"/>
      <c r="AB199" s="119" t="s">
        <v>391</v>
      </c>
      <c r="AC199" s="120">
        <v>45288</v>
      </c>
      <c r="AD199" s="121">
        <v>901586873</v>
      </c>
      <c r="AE199" s="122" t="s">
        <v>1298</v>
      </c>
      <c r="AF199" s="126"/>
      <c r="AG199" s="114">
        <v>45303</v>
      </c>
      <c r="AH199" s="21" t="s">
        <v>921</v>
      </c>
      <c r="AI199" s="21"/>
      <c r="AJ199" s="21"/>
      <c r="AK199" s="118">
        <v>0</v>
      </c>
      <c r="AL199" s="118">
        <v>24326009</v>
      </c>
      <c r="AM199" s="123"/>
      <c r="AN199" s="123"/>
      <c r="AO199" s="123"/>
      <c r="AP199" s="123"/>
      <c r="AQ199" s="123"/>
      <c r="AR199" s="123"/>
      <c r="AS199" s="123"/>
      <c r="AT199" s="123"/>
      <c r="AU199" s="123"/>
      <c r="AV199" s="123">
        <v>0.1</v>
      </c>
      <c r="AW199" s="124"/>
      <c r="AX199" s="124">
        <f>+AL199</f>
        <v>24326009</v>
      </c>
      <c r="AY199" s="124"/>
      <c r="AZ199" s="124">
        <v>0</v>
      </c>
      <c r="BA199" s="21"/>
      <c r="BB199" s="21"/>
      <c r="BC199" s="21"/>
      <c r="BD199" s="21"/>
      <c r="BE199" s="21"/>
      <c r="BF199" s="21"/>
      <c r="BG199" s="21"/>
      <c r="BH199" s="21"/>
      <c r="BI199" s="21"/>
      <c r="BJ199" s="21"/>
    </row>
    <row r="200" spans="1:62" ht="14" x14ac:dyDescent="0.15">
      <c r="A200" s="17">
        <v>196</v>
      </c>
      <c r="B200" s="16" t="s">
        <v>922</v>
      </c>
      <c r="C200" s="15">
        <v>166466711</v>
      </c>
      <c r="D200" s="112">
        <v>45283</v>
      </c>
      <c r="E200" s="21" t="s">
        <v>480</v>
      </c>
      <c r="F200" s="15">
        <f t="shared" si="38"/>
        <v>166466711</v>
      </c>
      <c r="G200" s="21" t="s">
        <v>62</v>
      </c>
      <c r="H200" s="15">
        <f t="shared" si="33"/>
        <v>0</v>
      </c>
      <c r="I200" s="21" t="s">
        <v>517</v>
      </c>
      <c r="J200" s="21" t="s">
        <v>923</v>
      </c>
      <c r="K200" s="21" t="s">
        <v>924</v>
      </c>
      <c r="L200" s="112">
        <v>45282</v>
      </c>
      <c r="M200" s="127">
        <v>9822</v>
      </c>
      <c r="N200" s="114">
        <v>44567</v>
      </c>
      <c r="O200" s="115" t="s">
        <v>66</v>
      </c>
      <c r="P200" s="115" t="s">
        <v>767</v>
      </c>
      <c r="Q200" s="122" t="s">
        <v>730</v>
      </c>
      <c r="R200" s="116" t="s">
        <v>649</v>
      </c>
      <c r="S200" s="115" t="s">
        <v>69</v>
      </c>
      <c r="T200" s="120">
        <v>45288</v>
      </c>
      <c r="U200" s="117"/>
      <c r="V200" s="118">
        <v>166466711</v>
      </c>
      <c r="W200" s="118"/>
      <c r="X200" s="118" t="s">
        <v>1154</v>
      </c>
      <c r="Y200" s="118">
        <f>+V200</f>
        <v>166466711</v>
      </c>
      <c r="Z200" s="125" t="s">
        <v>79</v>
      </c>
      <c r="AA200" s="118">
        <v>142.06</v>
      </c>
      <c r="AB200" s="119" t="s">
        <v>650</v>
      </c>
      <c r="AC200" s="120">
        <v>45288</v>
      </c>
      <c r="AD200" s="121">
        <v>901674566</v>
      </c>
      <c r="AE200" s="122" t="s">
        <v>1328</v>
      </c>
      <c r="AF200" s="126"/>
      <c r="AG200" s="114">
        <v>45329</v>
      </c>
      <c r="AH200" s="21" t="s">
        <v>425</v>
      </c>
      <c r="AI200" s="21"/>
      <c r="AJ200" s="21"/>
      <c r="AK200" s="118">
        <v>0</v>
      </c>
      <c r="AL200" s="118">
        <f t="shared" ref="AL200:AL208" si="39">IF(AK200="","",V200-AK200)</f>
        <v>166466711</v>
      </c>
      <c r="AM200" s="123"/>
      <c r="AN200" s="123"/>
      <c r="AO200" s="123"/>
      <c r="AP200" s="123"/>
      <c r="AQ200" s="123"/>
      <c r="AR200" s="123"/>
      <c r="AS200" s="123"/>
      <c r="AT200" s="123"/>
      <c r="AU200" s="123"/>
      <c r="AV200" s="123">
        <v>0.1</v>
      </c>
      <c r="AW200" s="124"/>
      <c r="AX200" s="124">
        <f>IF(AK200="","",ROUND(AL200*0%,2))</f>
        <v>0</v>
      </c>
      <c r="AY200" s="124">
        <f>IF(AK200="","",ROUND(AL200*100%,2))</f>
        <v>166466711</v>
      </c>
      <c r="AZ200" s="124">
        <f>IF(AK200="","",ROUND(AL200*0%,2))</f>
        <v>0</v>
      </c>
      <c r="BA200" s="21" t="s">
        <v>99</v>
      </c>
      <c r="BB200" s="21"/>
      <c r="BC200" s="21"/>
      <c r="BD200" s="21"/>
      <c r="BE200" s="21"/>
      <c r="BF200" s="21"/>
      <c r="BG200" s="21"/>
      <c r="BH200" s="21"/>
      <c r="BI200" s="21"/>
      <c r="BJ200" s="21"/>
    </row>
    <row r="201" spans="1:62" ht="14" x14ac:dyDescent="0.15">
      <c r="A201" s="17">
        <v>197</v>
      </c>
      <c r="B201" s="16" t="s">
        <v>925</v>
      </c>
      <c r="C201" s="15">
        <v>23886839</v>
      </c>
      <c r="D201" s="112">
        <v>45283</v>
      </c>
      <c r="E201" s="21" t="s">
        <v>85</v>
      </c>
      <c r="F201" s="15">
        <f t="shared" si="38"/>
        <v>23886839</v>
      </c>
      <c r="G201" s="21" t="s">
        <v>62</v>
      </c>
      <c r="H201" s="15">
        <f t="shared" si="33"/>
        <v>0</v>
      </c>
      <c r="I201" s="21" t="s">
        <v>517</v>
      </c>
      <c r="J201" s="21" t="s">
        <v>923</v>
      </c>
      <c r="K201" s="21" t="s">
        <v>926</v>
      </c>
      <c r="L201" s="112">
        <v>45282</v>
      </c>
      <c r="M201" s="127">
        <v>9822</v>
      </c>
      <c r="N201" s="114">
        <v>44567</v>
      </c>
      <c r="O201" s="115" t="s">
        <v>66</v>
      </c>
      <c r="P201" s="115" t="s">
        <v>767</v>
      </c>
      <c r="Q201" s="122" t="s">
        <v>730</v>
      </c>
      <c r="R201" s="116" t="s">
        <v>652</v>
      </c>
      <c r="S201" s="115" t="s">
        <v>69</v>
      </c>
      <c r="T201" s="117"/>
      <c r="U201" s="117"/>
      <c r="V201" s="118">
        <v>23886839</v>
      </c>
      <c r="W201" s="118"/>
      <c r="X201" s="118" t="s">
        <v>1154</v>
      </c>
      <c r="Y201" s="118">
        <f>+V201</f>
        <v>23886839</v>
      </c>
      <c r="Z201" s="125" t="s">
        <v>79</v>
      </c>
      <c r="AA201" s="118">
        <v>0</v>
      </c>
      <c r="AB201" s="119" t="s">
        <v>653</v>
      </c>
      <c r="AC201" s="120"/>
      <c r="AD201" s="121">
        <v>900426155</v>
      </c>
      <c r="AE201" s="122" t="s">
        <v>1329</v>
      </c>
      <c r="AF201" s="126"/>
      <c r="AG201" s="114">
        <v>45389</v>
      </c>
      <c r="AH201" s="21" t="s">
        <v>425</v>
      </c>
      <c r="AI201" s="21"/>
      <c r="AJ201" s="21"/>
      <c r="AK201" s="118">
        <v>0</v>
      </c>
      <c r="AL201" s="118">
        <f t="shared" si="39"/>
        <v>23886839</v>
      </c>
      <c r="AM201" s="123"/>
      <c r="AN201" s="123"/>
      <c r="AO201" s="123"/>
      <c r="AP201" s="123"/>
      <c r="AQ201" s="123"/>
      <c r="AR201" s="123"/>
      <c r="AS201" s="123"/>
      <c r="AT201" s="123"/>
      <c r="AU201" s="123"/>
      <c r="AV201" s="123">
        <v>0.1</v>
      </c>
      <c r="AW201" s="124"/>
      <c r="AX201" s="124">
        <f>IF(AK201="","",ROUND(AL201*50%,2))</f>
        <v>11943419.5</v>
      </c>
      <c r="AY201" s="124">
        <f>IF(AK201="","",ROUND(AL201*40%,2))</f>
        <v>9554735.5999999996</v>
      </c>
      <c r="AZ201" s="124">
        <f>IF(AK201="","",ROUND(AL201*10%,2))</f>
        <v>2388683.9</v>
      </c>
      <c r="BA201" s="21" t="s">
        <v>99</v>
      </c>
      <c r="BB201" s="21"/>
      <c r="BC201" s="21"/>
      <c r="BD201" s="21"/>
      <c r="BE201" s="21"/>
      <c r="BF201" s="21"/>
      <c r="BG201" s="21"/>
      <c r="BH201" s="21"/>
      <c r="BI201" s="21"/>
      <c r="BJ201" s="21"/>
    </row>
    <row r="202" spans="1:62" ht="14" x14ac:dyDescent="0.15">
      <c r="A202" s="17">
        <v>198</v>
      </c>
      <c r="B202" s="16" t="s">
        <v>927</v>
      </c>
      <c r="C202" s="15">
        <v>75261947</v>
      </c>
      <c r="D202" s="112">
        <v>45282</v>
      </c>
      <c r="E202" s="21" t="s">
        <v>723</v>
      </c>
      <c r="F202" s="15">
        <f t="shared" si="38"/>
        <v>75261947</v>
      </c>
      <c r="G202" s="21" t="s">
        <v>62</v>
      </c>
      <c r="H202" s="145">
        <f t="shared" si="33"/>
        <v>0</v>
      </c>
      <c r="I202" s="21" t="s">
        <v>110</v>
      </c>
      <c r="J202" s="21" t="s">
        <v>928</v>
      </c>
      <c r="K202" s="21" t="s">
        <v>929</v>
      </c>
      <c r="L202" s="112">
        <v>45282</v>
      </c>
      <c r="M202" s="127">
        <v>7110001</v>
      </c>
      <c r="N202" s="114">
        <v>45237</v>
      </c>
      <c r="O202" s="122" t="s">
        <v>830</v>
      </c>
      <c r="P202" s="115" t="s">
        <v>930</v>
      </c>
      <c r="Q202" s="21" t="s">
        <v>931</v>
      </c>
      <c r="R202" s="116" t="s">
        <v>236</v>
      </c>
      <c r="S202" s="115" t="s">
        <v>69</v>
      </c>
      <c r="T202" s="120">
        <v>45288</v>
      </c>
      <c r="U202" s="117" t="s">
        <v>124</v>
      </c>
      <c r="V202" s="146">
        <v>75261947</v>
      </c>
      <c r="W202" s="124"/>
      <c r="X202" s="118" t="s">
        <v>1117</v>
      </c>
      <c r="Y202" s="124">
        <v>75261947</v>
      </c>
      <c r="Z202" s="118" t="s">
        <v>70</v>
      </c>
      <c r="AA202" s="124"/>
      <c r="AB202" s="119" t="s">
        <v>237</v>
      </c>
      <c r="AC202" s="120">
        <v>45288</v>
      </c>
      <c r="AD202" s="121">
        <v>901579530</v>
      </c>
      <c r="AE202" s="122" t="s">
        <v>1269</v>
      </c>
      <c r="AF202" s="126"/>
      <c r="AG202" s="114">
        <v>45421</v>
      </c>
      <c r="AH202" s="21" t="s">
        <v>748</v>
      </c>
      <c r="AI202" s="21"/>
      <c r="AJ202" s="21"/>
      <c r="AK202" s="118">
        <v>0</v>
      </c>
      <c r="AL202" s="118">
        <f t="shared" si="39"/>
        <v>75261947</v>
      </c>
      <c r="AM202" s="123"/>
      <c r="AN202" s="123"/>
      <c r="AO202" s="123"/>
      <c r="AP202" s="123"/>
      <c r="AQ202" s="123"/>
      <c r="AR202" s="123"/>
      <c r="AS202" s="123"/>
      <c r="AT202" s="123"/>
      <c r="AU202" s="123"/>
      <c r="AV202" s="123">
        <v>0.1</v>
      </c>
      <c r="AW202" s="124"/>
      <c r="AX202" s="124">
        <f>IF(AK202="","",ROUND(AL202/INT(LEFT(AH202,FIND("m",AH202)-1))*90%,2))</f>
        <v>22578584.100000001</v>
      </c>
      <c r="AY202" s="124">
        <f>IF(AK202="","",ROUND(AL202*0%,2))</f>
        <v>0</v>
      </c>
      <c r="AZ202" s="124">
        <f>IF(AK202="","",ROUND(AL202*10%,2))</f>
        <v>7526194.7000000002</v>
      </c>
      <c r="BA202" s="21" t="s">
        <v>117</v>
      </c>
      <c r="BB202" s="21"/>
      <c r="BC202" s="21"/>
      <c r="BD202" s="21"/>
      <c r="BE202" s="21"/>
      <c r="BF202" s="21"/>
      <c r="BG202" s="21"/>
      <c r="BH202" s="21"/>
      <c r="BI202" s="21"/>
      <c r="BJ202" s="21"/>
    </row>
    <row r="203" spans="1:62" ht="14" x14ac:dyDescent="0.15">
      <c r="A203" s="17">
        <v>199</v>
      </c>
      <c r="B203" s="16" t="s">
        <v>932</v>
      </c>
      <c r="C203" s="15">
        <v>5339717443</v>
      </c>
      <c r="D203" s="112">
        <v>45302</v>
      </c>
      <c r="E203" s="21" t="s">
        <v>480</v>
      </c>
      <c r="F203" s="15">
        <f t="shared" si="38"/>
        <v>5339717443</v>
      </c>
      <c r="G203" s="21" t="s">
        <v>62</v>
      </c>
      <c r="H203" s="15">
        <f t="shared" si="33"/>
        <v>0</v>
      </c>
      <c r="I203" s="21" t="s">
        <v>933</v>
      </c>
      <c r="J203" s="15" t="s">
        <v>253</v>
      </c>
      <c r="K203" s="21" t="s">
        <v>618</v>
      </c>
      <c r="L203" s="112">
        <v>45302</v>
      </c>
      <c r="M203" s="127">
        <v>162822</v>
      </c>
      <c r="N203" s="114">
        <v>44916</v>
      </c>
      <c r="O203" s="115" t="s">
        <v>66</v>
      </c>
      <c r="P203" s="115" t="s">
        <v>767</v>
      </c>
      <c r="Q203" s="122" t="s">
        <v>730</v>
      </c>
      <c r="R203" s="116" t="s">
        <v>934</v>
      </c>
      <c r="S203" s="115" t="s">
        <v>69</v>
      </c>
      <c r="T203" s="117">
        <v>45352</v>
      </c>
      <c r="U203" s="117"/>
      <c r="V203" s="118">
        <v>5143771412</v>
      </c>
      <c r="W203" s="118">
        <f>+V203</f>
        <v>5143771412</v>
      </c>
      <c r="X203" s="118" t="s">
        <v>1154</v>
      </c>
      <c r="Y203" s="118"/>
      <c r="Z203" s="118" t="s">
        <v>70</v>
      </c>
      <c r="AA203" s="118"/>
      <c r="AB203" s="119" t="s">
        <v>935</v>
      </c>
      <c r="AC203" s="120">
        <v>45371</v>
      </c>
      <c r="AD203" s="121">
        <v>901808784</v>
      </c>
      <c r="AE203" s="122" t="s">
        <v>936</v>
      </c>
      <c r="AF203" s="126"/>
      <c r="AG203" s="114"/>
      <c r="AH203" s="21" t="s">
        <v>604</v>
      </c>
      <c r="AI203" s="21"/>
      <c r="AJ203" s="21"/>
      <c r="AK203" s="118">
        <v>40732080</v>
      </c>
      <c r="AL203" s="118">
        <f t="shared" si="39"/>
        <v>5103039332</v>
      </c>
      <c r="AM203" s="123">
        <v>0.19919999999999999</v>
      </c>
      <c r="AN203" s="123">
        <v>1.4999999999999999E-2</v>
      </c>
      <c r="AO203" s="123">
        <v>0.05</v>
      </c>
      <c r="AP203" s="123"/>
      <c r="AQ203" s="123"/>
      <c r="AR203" s="123"/>
      <c r="AS203" s="123"/>
      <c r="AT203" s="123"/>
      <c r="AU203" s="123"/>
      <c r="AV203" s="123">
        <v>0.1</v>
      </c>
      <c r="AW203" s="124">
        <f>IF(AK203="","",AK203)</f>
        <v>40732080</v>
      </c>
      <c r="AX203" s="124"/>
      <c r="AY203" s="124">
        <f>IF(AK203="","",ROUND(AL203*100%,2))</f>
        <v>5103039332</v>
      </c>
      <c r="AZ203" s="124"/>
      <c r="BA203" s="21"/>
      <c r="BB203" s="21"/>
      <c r="BC203" s="21"/>
      <c r="BD203" s="21"/>
      <c r="BE203" s="21"/>
      <c r="BF203" s="21"/>
      <c r="BG203" s="21"/>
      <c r="BH203" s="21"/>
      <c r="BI203" s="21"/>
      <c r="BJ203" s="21"/>
    </row>
    <row r="204" spans="1:62" ht="14" x14ac:dyDescent="0.15">
      <c r="A204" s="17">
        <v>200</v>
      </c>
      <c r="B204" s="16" t="s">
        <v>937</v>
      </c>
      <c r="C204" s="15">
        <v>346109885</v>
      </c>
      <c r="D204" s="112">
        <v>45302</v>
      </c>
      <c r="E204" s="21" t="s">
        <v>85</v>
      </c>
      <c r="F204" s="15">
        <f t="shared" si="38"/>
        <v>346109885</v>
      </c>
      <c r="G204" s="21" t="s">
        <v>62</v>
      </c>
      <c r="H204" s="15">
        <f t="shared" si="33"/>
        <v>0</v>
      </c>
      <c r="I204" s="21" t="s">
        <v>933</v>
      </c>
      <c r="J204" s="15" t="s">
        <v>253</v>
      </c>
      <c r="K204" s="21" t="s">
        <v>618</v>
      </c>
      <c r="L204" s="112">
        <v>45302</v>
      </c>
      <c r="M204" s="127">
        <v>176921</v>
      </c>
      <c r="N204" s="114">
        <v>44477</v>
      </c>
      <c r="O204" s="115" t="s">
        <v>66</v>
      </c>
      <c r="P204" s="115" t="s">
        <v>767</v>
      </c>
      <c r="Q204" s="147" t="s">
        <v>730</v>
      </c>
      <c r="R204" s="116" t="s">
        <v>938</v>
      </c>
      <c r="S204" s="115" t="s">
        <v>69</v>
      </c>
      <c r="T204" s="117">
        <v>45352</v>
      </c>
      <c r="U204" s="117"/>
      <c r="V204" s="118">
        <v>328804391</v>
      </c>
      <c r="W204" s="118">
        <f>+V204</f>
        <v>328804391</v>
      </c>
      <c r="X204" s="118" t="s">
        <v>1154</v>
      </c>
      <c r="Y204" s="118"/>
      <c r="Z204" s="118" t="s">
        <v>70</v>
      </c>
      <c r="AA204" s="118"/>
      <c r="AB204" s="119" t="s">
        <v>939</v>
      </c>
      <c r="AC204" s="120">
        <v>45399</v>
      </c>
      <c r="AD204" s="121">
        <v>802008390</v>
      </c>
      <c r="AE204" s="122" t="s">
        <v>1294</v>
      </c>
      <c r="AF204" s="126"/>
      <c r="AG204" s="114"/>
      <c r="AH204" s="21" t="s">
        <v>637</v>
      </c>
      <c r="AI204" s="21"/>
      <c r="AJ204" s="21"/>
      <c r="AK204" s="118">
        <v>14359121</v>
      </c>
      <c r="AL204" s="118">
        <f t="shared" si="39"/>
        <v>314445270</v>
      </c>
      <c r="AM204" s="123"/>
      <c r="AN204" s="123"/>
      <c r="AO204" s="123"/>
      <c r="AP204" s="123"/>
      <c r="AQ204" s="123"/>
      <c r="AR204" s="123"/>
      <c r="AS204" s="123"/>
      <c r="AT204" s="123"/>
      <c r="AU204" s="123"/>
      <c r="AV204" s="123">
        <v>0.1</v>
      </c>
      <c r="AW204" s="148">
        <f>IF(AK204="","",AK204)</f>
        <v>14359121</v>
      </c>
      <c r="AX204" s="124">
        <f>IF(AK204="","",ROUND(AL204/INT(LEFT(AH204,FIND("m",AH204)-1))*50%,2))</f>
        <v>15722263.5</v>
      </c>
      <c r="AY204" s="124">
        <f>IF(AK204="","",ROUND(AL204*40%,2))</f>
        <v>125778108</v>
      </c>
      <c r="AZ204" s="124">
        <f>IF(AK204="","",ROUND(AL204*10%,2))</f>
        <v>31444527</v>
      </c>
      <c r="BA204" s="21"/>
      <c r="BB204" s="21"/>
      <c r="BC204" s="21"/>
      <c r="BD204" s="21"/>
      <c r="BE204" s="21"/>
      <c r="BF204" s="21"/>
      <c r="BG204" s="21"/>
      <c r="BH204" s="21"/>
      <c r="BI204" s="21"/>
      <c r="BJ204" s="21"/>
    </row>
    <row r="205" spans="1:62" ht="14" x14ac:dyDescent="0.15">
      <c r="A205" s="17">
        <v>201</v>
      </c>
      <c r="B205" s="16" t="s">
        <v>940</v>
      </c>
      <c r="C205" s="15">
        <v>10578478</v>
      </c>
      <c r="D205" s="112">
        <v>45327</v>
      </c>
      <c r="E205" s="21" t="s">
        <v>85</v>
      </c>
      <c r="F205" s="15">
        <f t="shared" si="38"/>
        <v>10578478</v>
      </c>
      <c r="G205" s="21" t="s">
        <v>62</v>
      </c>
      <c r="H205" s="15">
        <f t="shared" si="33"/>
        <v>0</v>
      </c>
      <c r="I205" s="21" t="s">
        <v>485</v>
      </c>
      <c r="J205" s="21" t="s">
        <v>87</v>
      </c>
      <c r="K205" s="21" t="s">
        <v>941</v>
      </c>
      <c r="L205" s="112">
        <v>45327</v>
      </c>
      <c r="M205" s="127">
        <v>9822</v>
      </c>
      <c r="N205" s="114">
        <v>44567</v>
      </c>
      <c r="O205" s="115" t="s">
        <v>66</v>
      </c>
      <c r="P205" s="115" t="s">
        <v>767</v>
      </c>
      <c r="Q205" s="115" t="s">
        <v>112</v>
      </c>
      <c r="R205" s="116" t="s">
        <v>602</v>
      </c>
      <c r="S205" s="115" t="s">
        <v>69</v>
      </c>
      <c r="T205" s="117">
        <v>45331</v>
      </c>
      <c r="U205" s="117"/>
      <c r="V205" s="15">
        <v>10578478</v>
      </c>
      <c r="W205" s="15"/>
      <c r="X205" s="118" t="s">
        <v>1154</v>
      </c>
      <c r="Y205" s="15">
        <f>+V205</f>
        <v>10578478</v>
      </c>
      <c r="Z205" s="118" t="s">
        <v>70</v>
      </c>
      <c r="AA205" s="15"/>
      <c r="AB205" s="119" t="s">
        <v>603</v>
      </c>
      <c r="AC205" s="120">
        <v>45331</v>
      </c>
      <c r="AD205" s="121">
        <v>901450714</v>
      </c>
      <c r="AE205" s="122" t="s">
        <v>1319</v>
      </c>
      <c r="AF205" s="126"/>
      <c r="AG205" s="114">
        <v>45456</v>
      </c>
      <c r="AH205" s="21" t="s">
        <v>326</v>
      </c>
      <c r="AI205" s="21" t="s">
        <v>793</v>
      </c>
      <c r="AJ205" s="21"/>
      <c r="AK205" s="118">
        <v>0</v>
      </c>
      <c r="AL205" s="118">
        <f t="shared" si="39"/>
        <v>10578478</v>
      </c>
      <c r="AM205" s="123"/>
      <c r="AN205" s="123"/>
      <c r="AO205" s="123"/>
      <c r="AP205" s="123"/>
      <c r="AQ205" s="123"/>
      <c r="AR205" s="123"/>
      <c r="AS205" s="123"/>
      <c r="AT205" s="123"/>
      <c r="AU205" s="123"/>
      <c r="AV205" s="123">
        <v>0.1</v>
      </c>
      <c r="AW205" s="124"/>
      <c r="AX205" s="124">
        <f>IF(AK205="","",ROUND(AL205*100%,2))</f>
        <v>10578478</v>
      </c>
      <c r="AY205" s="124"/>
      <c r="AZ205" s="124"/>
      <c r="BA205" s="21" t="s">
        <v>942</v>
      </c>
      <c r="BB205" s="21"/>
      <c r="BC205" s="21"/>
      <c r="BD205" s="21"/>
      <c r="BE205" s="21"/>
      <c r="BF205" s="21"/>
      <c r="BG205" s="21"/>
      <c r="BH205" s="21"/>
      <c r="BI205" s="21"/>
      <c r="BJ205" s="21"/>
    </row>
    <row r="206" spans="1:62" ht="14" x14ac:dyDescent="0.15">
      <c r="A206" s="17">
        <v>202</v>
      </c>
      <c r="B206" s="16" t="s">
        <v>943</v>
      </c>
      <c r="C206" s="15">
        <v>912739586</v>
      </c>
      <c r="D206" s="112">
        <v>45341</v>
      </c>
      <c r="E206" s="21" t="s">
        <v>480</v>
      </c>
      <c r="F206" s="15">
        <f t="shared" si="38"/>
        <v>912739586</v>
      </c>
      <c r="G206" s="21" t="s">
        <v>62</v>
      </c>
      <c r="H206" s="15">
        <f t="shared" si="33"/>
        <v>0</v>
      </c>
      <c r="I206" s="21" t="s">
        <v>489</v>
      </c>
      <c r="J206" s="21" t="s">
        <v>489</v>
      </c>
      <c r="K206" s="21" t="s">
        <v>618</v>
      </c>
      <c r="L206" s="112">
        <v>45341</v>
      </c>
      <c r="M206" s="135">
        <v>188421</v>
      </c>
      <c r="N206" s="114">
        <v>44550</v>
      </c>
      <c r="O206" s="115" t="s">
        <v>66</v>
      </c>
      <c r="P206" s="115" t="s">
        <v>767</v>
      </c>
      <c r="Q206" s="115" t="s">
        <v>112</v>
      </c>
      <c r="R206" s="116" t="s">
        <v>944</v>
      </c>
      <c r="S206" s="115" t="s">
        <v>69</v>
      </c>
      <c r="T206" s="117">
        <v>45378</v>
      </c>
      <c r="U206" s="117"/>
      <c r="V206" s="118">
        <v>883622464</v>
      </c>
      <c r="W206" s="118">
        <f>+V206</f>
        <v>883622464</v>
      </c>
      <c r="X206" s="125" t="s">
        <v>1352</v>
      </c>
      <c r="Y206" s="118"/>
      <c r="Z206" s="118" t="s">
        <v>608</v>
      </c>
      <c r="AA206" s="118"/>
      <c r="AB206" s="119" t="s">
        <v>945</v>
      </c>
      <c r="AC206" s="120">
        <v>45407</v>
      </c>
      <c r="AD206" s="121">
        <v>1140844020</v>
      </c>
      <c r="AE206" s="122" t="s">
        <v>1347</v>
      </c>
      <c r="AF206" s="126">
        <v>45889</v>
      </c>
      <c r="AG206" s="114"/>
      <c r="AH206" s="21" t="s">
        <v>610</v>
      </c>
      <c r="AI206" s="21"/>
      <c r="AJ206" s="21"/>
      <c r="AK206" s="118">
        <v>71222081</v>
      </c>
      <c r="AL206" s="118">
        <f t="shared" si="39"/>
        <v>812400383</v>
      </c>
      <c r="AM206" s="123"/>
      <c r="AN206" s="123"/>
      <c r="AO206" s="123"/>
      <c r="AP206" s="123"/>
      <c r="AQ206" s="123"/>
      <c r="AR206" s="123"/>
      <c r="AS206" s="123"/>
      <c r="AT206" s="123"/>
      <c r="AU206" s="123"/>
      <c r="AV206" s="123">
        <v>0.1</v>
      </c>
      <c r="AW206" s="124">
        <f>IF(AK206="","",AK206)</f>
        <v>71222081</v>
      </c>
      <c r="AX206" s="124"/>
      <c r="AY206" s="124">
        <f>IF(AK206="","",ROUND(AL206*100%,2))</f>
        <v>812400383</v>
      </c>
      <c r="AZ206" s="124"/>
      <c r="BA206" s="21"/>
      <c r="BB206" s="21"/>
      <c r="BC206" s="21"/>
      <c r="BD206" s="21"/>
      <c r="BE206" s="21"/>
      <c r="BF206" s="21"/>
      <c r="BG206" s="21"/>
      <c r="BH206" s="21"/>
      <c r="BI206" s="21"/>
      <c r="BJ206" s="21"/>
    </row>
    <row r="207" spans="1:62" ht="14" x14ac:dyDescent="0.15">
      <c r="A207" s="17">
        <v>203</v>
      </c>
      <c r="B207" s="16" t="s">
        <v>946</v>
      </c>
      <c r="C207" s="15">
        <v>130674850</v>
      </c>
      <c r="D207" s="112">
        <v>45341</v>
      </c>
      <c r="E207" s="21" t="s">
        <v>85</v>
      </c>
      <c r="F207" s="15">
        <f>C207</f>
        <v>130674850</v>
      </c>
      <c r="G207" s="21" t="s">
        <v>62</v>
      </c>
      <c r="H207" s="15">
        <f t="shared" si="33"/>
        <v>0</v>
      </c>
      <c r="I207" s="21" t="s">
        <v>489</v>
      </c>
      <c r="J207" s="149" t="s">
        <v>120</v>
      </c>
      <c r="K207" s="21" t="s">
        <v>618</v>
      </c>
      <c r="L207" s="112">
        <v>45341</v>
      </c>
      <c r="M207" s="135">
        <v>188421</v>
      </c>
      <c r="N207" s="114">
        <v>44550</v>
      </c>
      <c r="O207" s="115" t="s">
        <v>66</v>
      </c>
      <c r="P207" s="115" t="s">
        <v>767</v>
      </c>
      <c r="Q207" s="115" t="s">
        <v>947</v>
      </c>
      <c r="R207" s="116" t="s">
        <v>948</v>
      </c>
      <c r="S207" s="115" t="s">
        <v>69</v>
      </c>
      <c r="T207" s="117">
        <v>45378</v>
      </c>
      <c r="U207" s="117"/>
      <c r="V207" s="118">
        <v>117607366</v>
      </c>
      <c r="W207" s="118">
        <f>+V207</f>
        <v>117607366</v>
      </c>
      <c r="X207" s="118" t="s">
        <v>1352</v>
      </c>
      <c r="Y207" s="118"/>
      <c r="Z207" s="118" t="s">
        <v>608</v>
      </c>
      <c r="AA207" s="118"/>
      <c r="AB207" s="119" t="s">
        <v>949</v>
      </c>
      <c r="AC207" s="120">
        <v>45406</v>
      </c>
      <c r="AD207" s="121">
        <v>800200907</v>
      </c>
      <c r="AE207" s="122" t="s">
        <v>1348</v>
      </c>
      <c r="AF207" s="126">
        <v>45524</v>
      </c>
      <c r="AG207" s="114">
        <v>45589</v>
      </c>
      <c r="AH207" s="21" t="s">
        <v>600</v>
      </c>
      <c r="AI207" s="21"/>
      <c r="AJ207" s="21"/>
      <c r="AK207" s="118">
        <v>13188438</v>
      </c>
      <c r="AL207" s="118">
        <v>104418928</v>
      </c>
      <c r="AM207" s="123"/>
      <c r="AN207" s="123"/>
      <c r="AO207" s="123"/>
      <c r="AP207" s="123"/>
      <c r="AQ207" s="123"/>
      <c r="AR207" s="123"/>
      <c r="AS207" s="123" t="s">
        <v>950</v>
      </c>
      <c r="AT207" s="118">
        <v>104418928</v>
      </c>
      <c r="AU207" s="123"/>
      <c r="AV207" s="123">
        <v>0.1</v>
      </c>
      <c r="AW207" s="124">
        <f>IF(AK207="","",AK207)</f>
        <v>13188438</v>
      </c>
      <c r="AX207" s="124">
        <f>IF(AK207="","",ROUND(AL207/INT(LEFT(AH207,FIND("m",AH207)-1))*50%,2))</f>
        <v>8701577.3300000001</v>
      </c>
      <c r="AY207" s="124">
        <f>IF(AK207="","",ROUND(AL207*40%,2))</f>
        <v>41767571.200000003</v>
      </c>
      <c r="AZ207" s="124">
        <f>IF(AK207="","",ROUND(AL207*10%,2))</f>
        <v>10441892.800000001</v>
      </c>
      <c r="BA207" s="21"/>
      <c r="BB207" s="21"/>
      <c r="BC207" s="21"/>
      <c r="BD207" s="21"/>
      <c r="BE207" s="21"/>
      <c r="BF207" s="21"/>
      <c r="BG207" s="21"/>
      <c r="BH207" s="21"/>
      <c r="BI207" s="21"/>
      <c r="BJ207" s="21"/>
    </row>
    <row r="208" spans="1:62" ht="14" x14ac:dyDescent="0.15">
      <c r="A208" s="17">
        <v>204</v>
      </c>
      <c r="B208" s="16" t="s">
        <v>951</v>
      </c>
      <c r="C208" s="15">
        <v>1231008030</v>
      </c>
      <c r="D208" s="112">
        <v>45358</v>
      </c>
      <c r="E208" s="21" t="s">
        <v>480</v>
      </c>
      <c r="F208" s="15">
        <f>C208</f>
        <v>1231008030</v>
      </c>
      <c r="G208" s="21" t="s">
        <v>62</v>
      </c>
      <c r="H208" s="15">
        <f t="shared" si="33"/>
        <v>0</v>
      </c>
      <c r="I208" s="21" t="s">
        <v>952</v>
      </c>
      <c r="J208" s="15" t="s">
        <v>334</v>
      </c>
      <c r="K208" s="21" t="s">
        <v>618</v>
      </c>
      <c r="L208" s="112">
        <v>45358</v>
      </c>
      <c r="M208" s="127">
        <v>9822</v>
      </c>
      <c r="N208" s="114">
        <v>44567</v>
      </c>
      <c r="O208" s="115" t="s">
        <v>66</v>
      </c>
      <c r="P208" s="115" t="s">
        <v>767</v>
      </c>
      <c r="Q208" s="150" t="s">
        <v>947</v>
      </c>
      <c r="R208" s="151" t="s">
        <v>953</v>
      </c>
      <c r="S208" s="115" t="s">
        <v>69</v>
      </c>
      <c r="T208" s="117">
        <v>45441</v>
      </c>
      <c r="U208" s="117"/>
      <c r="V208" s="118">
        <v>1204075524</v>
      </c>
      <c r="W208" s="118">
        <f>+V208</f>
        <v>1204075524</v>
      </c>
      <c r="X208" s="118" t="s">
        <v>1154</v>
      </c>
      <c r="Y208" s="118"/>
      <c r="Z208" s="118" t="s">
        <v>70</v>
      </c>
      <c r="AA208" s="118"/>
      <c r="AB208" s="119" t="s">
        <v>954</v>
      </c>
      <c r="AC208" s="120">
        <v>45463</v>
      </c>
      <c r="AD208" s="121">
        <v>901838288</v>
      </c>
      <c r="AE208" s="122" t="s">
        <v>955</v>
      </c>
      <c r="AF208" s="126"/>
      <c r="AG208" s="114"/>
      <c r="AH208" s="21" t="s">
        <v>163</v>
      </c>
      <c r="AI208" s="21"/>
      <c r="AJ208" s="21"/>
      <c r="AK208" s="118">
        <v>14518000</v>
      </c>
      <c r="AL208" s="118">
        <f t="shared" si="39"/>
        <v>1189557524</v>
      </c>
      <c r="AM208" s="136">
        <v>0.2215</v>
      </c>
      <c r="AN208" s="123">
        <v>0.01</v>
      </c>
      <c r="AO208" s="123">
        <v>0.05</v>
      </c>
      <c r="AP208" s="123">
        <v>0.19</v>
      </c>
      <c r="AQ208" s="123"/>
      <c r="AR208" s="123"/>
      <c r="AS208" s="123"/>
      <c r="AT208" s="123"/>
      <c r="AU208" s="123"/>
      <c r="AV208" s="123"/>
      <c r="AW208" s="124">
        <f>+AK208</f>
        <v>14518000</v>
      </c>
      <c r="AX208" s="124"/>
      <c r="AY208" s="124">
        <f>+AL208</f>
        <v>1189557524</v>
      </c>
      <c r="AZ208" s="124"/>
      <c r="BA208" s="21"/>
      <c r="BB208" s="21"/>
      <c r="BC208" s="21"/>
      <c r="BD208" s="21"/>
      <c r="BE208" s="21"/>
      <c r="BF208" s="21"/>
      <c r="BG208" s="21"/>
      <c r="BH208" s="21"/>
      <c r="BI208" s="21"/>
      <c r="BJ208" s="21"/>
    </row>
    <row r="209" spans="1:62" ht="14" x14ac:dyDescent="0.15">
      <c r="A209" s="17">
        <v>205</v>
      </c>
      <c r="B209" s="16" t="s">
        <v>956</v>
      </c>
      <c r="C209" s="15">
        <v>2259628079</v>
      </c>
      <c r="D209" s="112">
        <v>45362</v>
      </c>
      <c r="E209" s="21" t="s">
        <v>480</v>
      </c>
      <c r="F209" s="15">
        <f>C209</f>
        <v>2259628079</v>
      </c>
      <c r="G209" s="21" t="s">
        <v>62</v>
      </c>
      <c r="H209" s="15">
        <f t="shared" si="33"/>
        <v>0</v>
      </c>
      <c r="I209" s="21" t="s">
        <v>489</v>
      </c>
      <c r="J209" s="21" t="s">
        <v>489</v>
      </c>
      <c r="K209" s="21" t="s">
        <v>957</v>
      </c>
      <c r="L209" s="112">
        <v>45362</v>
      </c>
      <c r="M209" s="135">
        <v>188421</v>
      </c>
      <c r="N209" s="114">
        <v>44550</v>
      </c>
      <c r="O209" s="115" t="s">
        <v>66</v>
      </c>
      <c r="P209" s="115" t="s">
        <v>767</v>
      </c>
      <c r="Q209" s="115" t="s">
        <v>112</v>
      </c>
      <c r="R209" s="116" t="s">
        <v>667</v>
      </c>
      <c r="S209" s="115" t="s">
        <v>69</v>
      </c>
      <c r="T209" s="117"/>
      <c r="U209" s="117"/>
      <c r="V209" s="118">
        <v>2259628079</v>
      </c>
      <c r="W209" s="118"/>
      <c r="X209" s="118" t="s">
        <v>1352</v>
      </c>
      <c r="Y209" s="118">
        <f>+V209</f>
        <v>2259628079</v>
      </c>
      <c r="Z209" s="118" t="s">
        <v>70</v>
      </c>
      <c r="AA209" s="118"/>
      <c r="AB209" s="119" t="s">
        <v>668</v>
      </c>
      <c r="AC209" s="120"/>
      <c r="AD209" s="121">
        <v>901718288</v>
      </c>
      <c r="AE209" s="122" t="s">
        <v>1331</v>
      </c>
      <c r="AF209" s="126"/>
      <c r="AG209" s="114"/>
      <c r="AH209" s="21"/>
      <c r="AI209" s="21"/>
      <c r="AJ209" s="21"/>
      <c r="AK209" s="118">
        <v>0</v>
      </c>
      <c r="AL209" s="118">
        <f>+V209</f>
        <v>2259628079</v>
      </c>
      <c r="AM209" s="136"/>
      <c r="AN209" s="123"/>
      <c r="AO209" s="123"/>
      <c r="AP209" s="123"/>
      <c r="AQ209" s="123"/>
      <c r="AR209" s="123"/>
      <c r="AS209" s="123"/>
      <c r="AT209" s="123"/>
      <c r="AU209" s="123"/>
      <c r="AV209" s="123"/>
      <c r="AW209" s="124"/>
      <c r="AX209" s="124"/>
      <c r="AY209" s="124">
        <f>+AL209</f>
        <v>2259628079</v>
      </c>
      <c r="AZ209" s="124"/>
      <c r="BA209" s="21" t="s">
        <v>670</v>
      </c>
      <c r="BB209" s="21"/>
      <c r="BC209" s="21"/>
      <c r="BD209" s="21"/>
      <c r="BE209" s="21"/>
      <c r="BF209" s="21"/>
      <c r="BG209" s="21"/>
      <c r="BH209" s="21"/>
      <c r="BI209" s="21"/>
      <c r="BJ209" s="21"/>
    </row>
    <row r="210" spans="1:62" ht="14" x14ac:dyDescent="0.15">
      <c r="A210" s="17">
        <v>206</v>
      </c>
      <c r="B210" s="16" t="s">
        <v>958</v>
      </c>
      <c r="C210" s="15">
        <v>240410910</v>
      </c>
      <c r="D210" s="112">
        <v>45362</v>
      </c>
      <c r="E210" s="21" t="s">
        <v>85</v>
      </c>
      <c r="F210" s="15">
        <f>C210</f>
        <v>240410910</v>
      </c>
      <c r="G210" s="21" t="s">
        <v>62</v>
      </c>
      <c r="H210" s="15">
        <f t="shared" si="33"/>
        <v>0</v>
      </c>
      <c r="I210" s="21" t="s">
        <v>489</v>
      </c>
      <c r="J210" s="21" t="s">
        <v>489</v>
      </c>
      <c r="K210" s="21" t="s">
        <v>959</v>
      </c>
      <c r="L210" s="112">
        <v>45362</v>
      </c>
      <c r="M210" s="135">
        <v>188221</v>
      </c>
      <c r="N210" s="114">
        <v>44550</v>
      </c>
      <c r="O210" s="115" t="s">
        <v>66</v>
      </c>
      <c r="P210" s="115" t="s">
        <v>767</v>
      </c>
      <c r="Q210" s="115" t="s">
        <v>112</v>
      </c>
      <c r="R210" s="116" t="s">
        <v>673</v>
      </c>
      <c r="S210" s="115" t="s">
        <v>69</v>
      </c>
      <c r="T210" s="117"/>
      <c r="U210" s="117"/>
      <c r="V210" s="118">
        <v>240410910</v>
      </c>
      <c r="W210" s="118"/>
      <c r="X210" s="118" t="s">
        <v>1352</v>
      </c>
      <c r="Y210" s="118">
        <f>+V210</f>
        <v>240410910</v>
      </c>
      <c r="Z210" s="118" t="s">
        <v>70</v>
      </c>
      <c r="AA210" s="118"/>
      <c r="AB210" s="119" t="s">
        <v>674</v>
      </c>
      <c r="AC210" s="120">
        <v>45364</v>
      </c>
      <c r="AD210" s="121">
        <v>901721196</v>
      </c>
      <c r="AE210" s="122" t="s">
        <v>1332</v>
      </c>
      <c r="AF210" s="126"/>
      <c r="AG210" s="114"/>
      <c r="AH210" s="21" t="s">
        <v>960</v>
      </c>
      <c r="AI210" s="21"/>
      <c r="AJ210" s="21"/>
      <c r="AK210" s="118">
        <v>0</v>
      </c>
      <c r="AL210" s="118">
        <f>+V210</f>
        <v>240410910</v>
      </c>
      <c r="AM210" s="123"/>
      <c r="AN210" s="123"/>
      <c r="AO210" s="123"/>
      <c r="AP210" s="123"/>
      <c r="AQ210" s="123"/>
      <c r="AR210" s="123"/>
      <c r="AS210" s="123"/>
      <c r="AT210" s="123"/>
      <c r="AU210" s="123"/>
      <c r="AV210" s="123">
        <v>0.1</v>
      </c>
      <c r="AW210" s="124"/>
      <c r="AX210" s="124">
        <f>IF(AK210="","",ROUND(AL210/INT(LEFT(AH210,FIND("m",AH210)-1))*50%,0))</f>
        <v>24041091</v>
      </c>
      <c r="AY210" s="124">
        <f>IF(AK210="","",ROUND(AL210*40%,2))</f>
        <v>96164364</v>
      </c>
      <c r="AZ210" s="124">
        <f>IF(AK210="","",ROUND(AL210*10%,2))</f>
        <v>24041091</v>
      </c>
      <c r="BA210" s="21"/>
      <c r="BB210" s="21"/>
      <c r="BC210" s="21"/>
      <c r="BD210" s="21"/>
      <c r="BE210" s="21"/>
      <c r="BF210" s="21"/>
      <c r="BG210" s="21"/>
      <c r="BH210" s="21"/>
      <c r="BI210" s="21"/>
      <c r="BJ210" s="21"/>
    </row>
    <row r="211" spans="1:62" ht="14" x14ac:dyDescent="0.15">
      <c r="A211" s="17">
        <v>207</v>
      </c>
      <c r="B211" s="16" t="s">
        <v>961</v>
      </c>
      <c r="C211" s="15">
        <v>91552570</v>
      </c>
      <c r="D211" s="112">
        <v>45364</v>
      </c>
      <c r="E211" s="21" t="s">
        <v>85</v>
      </c>
      <c r="F211" s="15">
        <f>C211</f>
        <v>91552570</v>
      </c>
      <c r="G211" s="21" t="s">
        <v>62</v>
      </c>
      <c r="H211" s="15">
        <f t="shared" si="33"/>
        <v>0</v>
      </c>
      <c r="I211" s="21" t="s">
        <v>952</v>
      </c>
      <c r="J211" s="15" t="s">
        <v>334</v>
      </c>
      <c r="K211" s="21" t="s">
        <v>618</v>
      </c>
      <c r="L211" s="112">
        <v>45364</v>
      </c>
      <c r="M211" s="127">
        <v>9822</v>
      </c>
      <c r="N211" s="114">
        <v>44567</v>
      </c>
      <c r="O211" s="115" t="s">
        <v>66</v>
      </c>
      <c r="P211" s="115" t="s">
        <v>767</v>
      </c>
      <c r="Q211" s="150" t="s">
        <v>947</v>
      </c>
      <c r="R211" s="151" t="s">
        <v>962</v>
      </c>
      <c r="S211" s="115" t="s">
        <v>69</v>
      </c>
      <c r="T211" s="117">
        <v>45441</v>
      </c>
      <c r="U211" s="117"/>
      <c r="V211" s="118">
        <v>87890467</v>
      </c>
      <c r="W211" s="118">
        <f t="shared" ref="W211:W216" si="40">+V211</f>
        <v>87890467</v>
      </c>
      <c r="X211" s="118" t="s">
        <v>1154</v>
      </c>
      <c r="Y211" s="118"/>
      <c r="Z211" s="118" t="s">
        <v>70</v>
      </c>
      <c r="AA211" s="118"/>
      <c r="AB211" s="119" t="s">
        <v>963</v>
      </c>
      <c r="AC211" s="120">
        <v>44029</v>
      </c>
      <c r="AD211" s="121">
        <v>901840868</v>
      </c>
      <c r="AE211" s="122" t="s">
        <v>964</v>
      </c>
      <c r="AF211" s="126"/>
      <c r="AG211" s="114"/>
      <c r="AH211" s="21" t="s">
        <v>81</v>
      </c>
      <c r="AI211" s="21"/>
      <c r="AJ211" s="21"/>
      <c r="AK211" s="118">
        <v>5419577</v>
      </c>
      <c r="AL211" s="118">
        <f t="shared" ref="AL211:AL216" si="41">IF(AK211="","",V211-AK211)</f>
        <v>82470890</v>
      </c>
      <c r="AM211" s="123"/>
      <c r="AN211" s="123"/>
      <c r="AO211" s="123"/>
      <c r="AP211" s="123"/>
      <c r="AQ211" s="123"/>
      <c r="AR211" s="123"/>
      <c r="AS211" s="123"/>
      <c r="AT211" s="123"/>
      <c r="AU211" s="123"/>
      <c r="AV211" s="123">
        <v>0.1</v>
      </c>
      <c r="AW211" s="124">
        <f>IF(AK211="","",AK211)</f>
        <v>5419577</v>
      </c>
      <c r="AX211" s="124">
        <f>IF(AK211="","",ROUND(AL211/INT(LEFT(AH211,FIND("m",AH211)-1))*50%,0))</f>
        <v>5154431</v>
      </c>
      <c r="AY211" s="124">
        <f>IF(AK211="","",ROUND(AL211*40%,2))</f>
        <v>32988356</v>
      </c>
      <c r="AZ211" s="124">
        <f>IF(AK211="","",ROUND(AL211*10%,2))</f>
        <v>8247089</v>
      </c>
      <c r="BA211" s="21"/>
      <c r="BB211" s="21"/>
      <c r="BC211" s="21"/>
      <c r="BD211" s="21"/>
      <c r="BE211" s="21"/>
      <c r="BF211" s="21"/>
      <c r="BG211" s="21"/>
      <c r="BH211" s="21"/>
      <c r="BI211" s="21"/>
      <c r="BJ211" s="21"/>
    </row>
    <row r="212" spans="1:62" ht="14" x14ac:dyDescent="0.15">
      <c r="A212" s="17">
        <v>208</v>
      </c>
      <c r="B212" s="16" t="s">
        <v>965</v>
      </c>
      <c r="C212" s="15">
        <v>0</v>
      </c>
      <c r="D212" s="112">
        <v>45658</v>
      </c>
      <c r="E212" s="21"/>
      <c r="F212" s="15">
        <v>0</v>
      </c>
      <c r="G212" s="21" t="s">
        <v>62</v>
      </c>
      <c r="H212" s="15">
        <f t="shared" si="33"/>
        <v>0</v>
      </c>
      <c r="I212" s="21" t="s">
        <v>580</v>
      </c>
      <c r="J212" s="21" t="s">
        <v>172</v>
      </c>
      <c r="K212" s="21"/>
      <c r="L212" s="112"/>
      <c r="M212" s="127"/>
      <c r="N212" s="114">
        <v>0</v>
      </c>
      <c r="O212" s="115" t="s">
        <v>66</v>
      </c>
      <c r="P212" s="115">
        <v>0</v>
      </c>
      <c r="Q212" s="150" t="s">
        <v>947</v>
      </c>
      <c r="R212" s="116" t="s">
        <v>125</v>
      </c>
      <c r="S212" s="115"/>
      <c r="T212" s="117" t="s">
        <v>429</v>
      </c>
      <c r="U212" s="117" t="s">
        <v>124</v>
      </c>
      <c r="V212" s="118">
        <v>0</v>
      </c>
      <c r="W212" s="118">
        <f t="shared" si="40"/>
        <v>0</v>
      </c>
      <c r="X212" s="118" t="s">
        <v>125</v>
      </c>
      <c r="Y212" s="118"/>
      <c r="Z212" s="118" t="s">
        <v>453</v>
      </c>
      <c r="AA212" s="118">
        <v>0</v>
      </c>
      <c r="AB212" s="119" t="s">
        <v>125</v>
      </c>
      <c r="AC212" s="120"/>
      <c r="AD212" s="121"/>
      <c r="AE212" s="122" t="s">
        <v>1159</v>
      </c>
      <c r="AF212" s="126"/>
      <c r="AG212" s="114"/>
      <c r="AH212" s="21"/>
      <c r="AI212" s="21"/>
      <c r="AJ212" s="21"/>
      <c r="AK212" s="118"/>
      <c r="AL212" s="118" t="str">
        <f t="shared" si="41"/>
        <v/>
      </c>
      <c r="AM212" s="123"/>
      <c r="AN212" s="123"/>
      <c r="AO212" s="123"/>
      <c r="AP212" s="123"/>
      <c r="AQ212" s="123"/>
      <c r="AR212" s="123"/>
      <c r="AS212" s="123"/>
      <c r="AT212" s="123"/>
      <c r="AU212" s="123"/>
      <c r="AV212" s="123"/>
      <c r="AW212" s="124"/>
      <c r="AX212" s="124"/>
      <c r="AY212" s="124"/>
      <c r="AZ212" s="124"/>
      <c r="BA212" s="21"/>
      <c r="BB212" s="21"/>
      <c r="BC212" s="21"/>
      <c r="BD212" s="21"/>
      <c r="BE212" s="21"/>
      <c r="BF212" s="21"/>
      <c r="BG212" s="21"/>
      <c r="BH212" s="21"/>
      <c r="BI212" s="21"/>
      <c r="BJ212" s="21"/>
    </row>
    <row r="213" spans="1:62" ht="14" x14ac:dyDescent="0.15">
      <c r="A213" s="17">
        <v>209</v>
      </c>
      <c r="B213" s="16" t="s">
        <v>966</v>
      </c>
      <c r="C213" s="15">
        <v>5447677585</v>
      </c>
      <c r="D213" s="112">
        <v>45373</v>
      </c>
      <c r="E213" s="21" t="s">
        <v>480</v>
      </c>
      <c r="F213" s="15">
        <f t="shared" ref="F213:F230" si="42">C213</f>
        <v>5447677585</v>
      </c>
      <c r="G213" s="21" t="s">
        <v>62</v>
      </c>
      <c r="H213" s="15">
        <f t="shared" si="33"/>
        <v>0</v>
      </c>
      <c r="I213" s="21" t="s">
        <v>967</v>
      </c>
      <c r="J213" s="149" t="s">
        <v>295</v>
      </c>
      <c r="K213" s="21" t="s">
        <v>618</v>
      </c>
      <c r="L213" s="112">
        <v>45372</v>
      </c>
      <c r="M213" s="127">
        <v>162822</v>
      </c>
      <c r="N213" s="114">
        <v>44916</v>
      </c>
      <c r="O213" s="115" t="s">
        <v>66</v>
      </c>
      <c r="P213" s="115" t="s">
        <v>767</v>
      </c>
      <c r="Q213" s="150" t="s">
        <v>947</v>
      </c>
      <c r="R213" s="116" t="s">
        <v>968</v>
      </c>
      <c r="S213" s="115" t="s">
        <v>69</v>
      </c>
      <c r="T213" s="117">
        <v>45434</v>
      </c>
      <c r="U213" s="117"/>
      <c r="V213" s="118">
        <v>5399272011</v>
      </c>
      <c r="W213" s="118">
        <f t="shared" si="40"/>
        <v>5399272011</v>
      </c>
      <c r="X213" s="118" t="s">
        <v>1154</v>
      </c>
      <c r="Y213" s="118"/>
      <c r="Z213" s="118" t="s">
        <v>70</v>
      </c>
      <c r="AA213" s="118"/>
      <c r="AB213" s="119" t="s">
        <v>969</v>
      </c>
      <c r="AC213" s="120">
        <v>45525</v>
      </c>
      <c r="AD213" s="121">
        <v>901839983</v>
      </c>
      <c r="AE213" s="122" t="s">
        <v>1349</v>
      </c>
      <c r="AF213" s="126"/>
      <c r="AG213" s="114"/>
      <c r="AH213" s="21" t="s">
        <v>151</v>
      </c>
      <c r="AI213" s="21"/>
      <c r="AJ213" s="21"/>
      <c r="AK213" s="118">
        <v>48378275</v>
      </c>
      <c r="AL213" s="118">
        <f t="shared" si="41"/>
        <v>5350893736</v>
      </c>
      <c r="AM213" s="136">
        <v>0.24149999999999999</v>
      </c>
      <c r="AN213" s="143">
        <v>1.4999999999999999E-2</v>
      </c>
      <c r="AO213" s="143">
        <v>0.05</v>
      </c>
      <c r="AP213" s="123"/>
      <c r="AQ213" s="123"/>
      <c r="AR213" s="134">
        <v>981945923.89999998</v>
      </c>
      <c r="AS213" s="134">
        <v>60990430.060000002</v>
      </c>
      <c r="AT213" s="134">
        <v>203301433.52000001</v>
      </c>
      <c r="AU213" s="134">
        <v>38627272.369999997</v>
      </c>
      <c r="AV213" s="123">
        <v>0.1</v>
      </c>
      <c r="AW213" s="124">
        <f>+AK213</f>
        <v>48378275</v>
      </c>
      <c r="AX213" s="124"/>
      <c r="AY213" s="124">
        <f>+AL213</f>
        <v>5350893736</v>
      </c>
      <c r="AZ213" s="124"/>
      <c r="BA213" s="21"/>
      <c r="BB213" s="21"/>
      <c r="BC213" s="21"/>
      <c r="BD213" s="21"/>
      <c r="BE213" s="21"/>
      <c r="BF213" s="21"/>
      <c r="BG213" s="21"/>
      <c r="BH213" s="21"/>
      <c r="BI213" s="21"/>
      <c r="BJ213" s="21"/>
    </row>
    <row r="214" spans="1:62" ht="14" x14ac:dyDescent="0.15">
      <c r="A214" s="17">
        <v>210</v>
      </c>
      <c r="B214" s="16" t="s">
        <v>970</v>
      </c>
      <c r="C214" s="15">
        <v>347100800</v>
      </c>
      <c r="D214" s="112">
        <v>45373</v>
      </c>
      <c r="E214" s="21" t="s">
        <v>85</v>
      </c>
      <c r="F214" s="15">
        <f t="shared" si="42"/>
        <v>347100800</v>
      </c>
      <c r="G214" s="21" t="s">
        <v>62</v>
      </c>
      <c r="H214" s="15">
        <f t="shared" si="33"/>
        <v>0</v>
      </c>
      <c r="I214" s="21" t="s">
        <v>967</v>
      </c>
      <c r="J214" s="149" t="s">
        <v>295</v>
      </c>
      <c r="K214" s="21" t="s">
        <v>618</v>
      </c>
      <c r="L214" s="112">
        <v>45372</v>
      </c>
      <c r="M214" s="127">
        <v>162822</v>
      </c>
      <c r="N214" s="114">
        <v>44916</v>
      </c>
      <c r="O214" s="115" t="s">
        <v>66</v>
      </c>
      <c r="P214" s="115" t="s">
        <v>767</v>
      </c>
      <c r="Q214" s="150" t="s">
        <v>947</v>
      </c>
      <c r="R214" s="151" t="s">
        <v>971</v>
      </c>
      <c r="S214" s="115" t="s">
        <v>69</v>
      </c>
      <c r="T214" s="117">
        <v>45439</v>
      </c>
      <c r="U214" s="117"/>
      <c r="V214" s="118">
        <v>328553693</v>
      </c>
      <c r="W214" s="118">
        <f t="shared" si="40"/>
        <v>328553693</v>
      </c>
      <c r="X214" s="118" t="s">
        <v>1154</v>
      </c>
      <c r="Y214" s="118"/>
      <c r="Z214" s="118" t="s">
        <v>70</v>
      </c>
      <c r="AA214" s="118"/>
      <c r="AB214" s="119" t="s">
        <v>972</v>
      </c>
      <c r="AC214" s="120">
        <v>45504</v>
      </c>
      <c r="AD214" s="121">
        <v>901843814</v>
      </c>
      <c r="AE214" s="122" t="s">
        <v>1350</v>
      </c>
      <c r="AF214" s="126">
        <v>45532</v>
      </c>
      <c r="AG214" s="114">
        <v>45942</v>
      </c>
      <c r="AH214" s="21" t="s">
        <v>743</v>
      </c>
      <c r="AI214" s="21"/>
      <c r="AJ214" s="21"/>
      <c r="AK214" s="118">
        <v>15151080</v>
      </c>
      <c r="AL214" s="118">
        <f t="shared" si="41"/>
        <v>313402613</v>
      </c>
      <c r="AM214" s="123"/>
      <c r="AN214" s="123"/>
      <c r="AO214" s="123"/>
      <c r="AP214" s="123"/>
      <c r="AQ214" s="123"/>
      <c r="AR214" s="123"/>
      <c r="AS214" s="123"/>
      <c r="AT214" s="123"/>
      <c r="AU214" s="123"/>
      <c r="AV214" s="123">
        <v>0.1</v>
      </c>
      <c r="AW214" s="124">
        <f>+AK214</f>
        <v>15151080</v>
      </c>
      <c r="AX214" s="124">
        <f>IF(AK214="","",ROUND(AL214/INT(LEFT(AH214,FIND("m",AH214)-1))*50%,0))</f>
        <v>13058442</v>
      </c>
      <c r="AY214" s="124">
        <f>IF(AK214="","",ROUND(AL214*40%,2))</f>
        <v>125361045.2</v>
      </c>
      <c r="AZ214" s="124">
        <f>+AL214*0.1</f>
        <v>31340261.300000001</v>
      </c>
      <c r="BA214" s="21"/>
      <c r="BB214" s="21"/>
      <c r="BC214" s="21"/>
      <c r="BD214" s="21"/>
      <c r="BE214" s="21"/>
      <c r="BF214" s="21"/>
      <c r="BG214" s="21"/>
      <c r="BH214" s="21"/>
      <c r="BI214" s="21"/>
      <c r="BJ214" s="21"/>
    </row>
    <row r="215" spans="1:62" ht="14" x14ac:dyDescent="0.15">
      <c r="A215" s="17">
        <v>211</v>
      </c>
      <c r="B215" s="16" t="s">
        <v>973</v>
      </c>
      <c r="C215" s="15">
        <v>1389342886</v>
      </c>
      <c r="D215" s="112">
        <v>45398</v>
      </c>
      <c r="E215" s="21" t="s">
        <v>480</v>
      </c>
      <c r="F215" s="15">
        <f t="shared" si="42"/>
        <v>1389342886</v>
      </c>
      <c r="G215" s="21" t="s">
        <v>62</v>
      </c>
      <c r="H215" s="15">
        <f t="shared" si="33"/>
        <v>0</v>
      </c>
      <c r="I215" s="21" t="s">
        <v>974</v>
      </c>
      <c r="J215" s="149" t="s">
        <v>334</v>
      </c>
      <c r="K215" s="21" t="s">
        <v>618</v>
      </c>
      <c r="L215" s="112">
        <v>45397</v>
      </c>
      <c r="M215" s="127">
        <v>162822</v>
      </c>
      <c r="N215" s="114">
        <v>44916</v>
      </c>
      <c r="O215" s="115" t="s">
        <v>66</v>
      </c>
      <c r="P215" s="115" t="s">
        <v>767</v>
      </c>
      <c r="Q215" s="115" t="s">
        <v>947</v>
      </c>
      <c r="R215" s="151" t="s">
        <v>975</v>
      </c>
      <c r="S215" s="115" t="s">
        <v>69</v>
      </c>
      <c r="T215" s="117">
        <v>45443</v>
      </c>
      <c r="U215" s="117"/>
      <c r="V215" s="124">
        <v>1330170100</v>
      </c>
      <c r="W215" s="118">
        <f t="shared" si="40"/>
        <v>1330170100</v>
      </c>
      <c r="X215" s="118" t="s">
        <v>1154</v>
      </c>
      <c r="Y215" s="124"/>
      <c r="Z215" s="118" t="s">
        <v>70</v>
      </c>
      <c r="AA215" s="124"/>
      <c r="AB215" s="119" t="s">
        <v>976</v>
      </c>
      <c r="AC215" s="120">
        <v>45502</v>
      </c>
      <c r="AD215" s="121">
        <v>901842254</v>
      </c>
      <c r="AE215" s="122" t="s">
        <v>977</v>
      </c>
      <c r="AF215" s="126"/>
      <c r="AG215" s="114"/>
      <c r="AH215" s="21" t="s">
        <v>163</v>
      </c>
      <c r="AI215" s="21"/>
      <c r="AJ215" s="21"/>
      <c r="AK215" s="118">
        <v>44346331</v>
      </c>
      <c r="AL215" s="118">
        <f t="shared" si="41"/>
        <v>1285823769</v>
      </c>
      <c r="AM215" s="136">
        <v>0.26800000000000002</v>
      </c>
      <c r="AN215" s="123">
        <v>0.02</v>
      </c>
      <c r="AO215" s="123">
        <v>0.05</v>
      </c>
      <c r="AP215" s="123">
        <v>0.19</v>
      </c>
      <c r="AQ215" s="123"/>
      <c r="AR215" s="123"/>
      <c r="AS215" s="123"/>
      <c r="AT215" s="123"/>
      <c r="AU215" s="123"/>
      <c r="AV215" s="123">
        <v>0.1</v>
      </c>
      <c r="AW215" s="124">
        <f>+AK215</f>
        <v>44346331</v>
      </c>
      <c r="AX215" s="124"/>
      <c r="AY215" s="124">
        <f>+AL215</f>
        <v>1285823769</v>
      </c>
      <c r="AZ215" s="124"/>
      <c r="BA215" s="21"/>
      <c r="BB215" s="21"/>
      <c r="BC215" s="21"/>
      <c r="BD215" s="21"/>
      <c r="BE215" s="21"/>
      <c r="BF215" s="21"/>
      <c r="BG215" s="21"/>
      <c r="BH215" s="21"/>
      <c r="BI215" s="21"/>
      <c r="BJ215" s="21"/>
    </row>
    <row r="216" spans="1:62" ht="14" x14ac:dyDescent="0.15">
      <c r="A216" s="17">
        <v>212</v>
      </c>
      <c r="B216" s="16" t="s">
        <v>978</v>
      </c>
      <c r="C216" s="15">
        <v>126704540</v>
      </c>
      <c r="D216" s="112">
        <v>45398</v>
      </c>
      <c r="E216" s="21" t="s">
        <v>85</v>
      </c>
      <c r="F216" s="15">
        <f t="shared" si="42"/>
        <v>126704540</v>
      </c>
      <c r="G216" s="21" t="s">
        <v>62</v>
      </c>
      <c r="H216" s="15">
        <f t="shared" si="33"/>
        <v>0</v>
      </c>
      <c r="I216" s="21" t="s">
        <v>974</v>
      </c>
      <c r="J216" s="152" t="s">
        <v>334</v>
      </c>
      <c r="K216" s="21" t="s">
        <v>618</v>
      </c>
      <c r="L216" s="112">
        <v>45397</v>
      </c>
      <c r="M216" s="127">
        <v>162822</v>
      </c>
      <c r="N216" s="114">
        <v>44916</v>
      </c>
      <c r="O216" s="115" t="s">
        <v>66</v>
      </c>
      <c r="P216" s="115" t="s">
        <v>767</v>
      </c>
      <c r="Q216" s="115" t="s">
        <v>947</v>
      </c>
      <c r="R216" s="151" t="s">
        <v>979</v>
      </c>
      <c r="S216" s="115" t="s">
        <v>69</v>
      </c>
      <c r="T216" s="117">
        <v>45443</v>
      </c>
      <c r="U216" s="117"/>
      <c r="V216" s="124">
        <v>121256245</v>
      </c>
      <c r="W216" s="118">
        <f t="shared" si="40"/>
        <v>121256245</v>
      </c>
      <c r="X216" s="118" t="s">
        <v>1154</v>
      </c>
      <c r="Y216" s="124"/>
      <c r="Z216" s="118" t="s">
        <v>70</v>
      </c>
      <c r="AA216" s="124"/>
      <c r="AB216" s="119" t="s">
        <v>980</v>
      </c>
      <c r="AC216" s="120">
        <v>45478</v>
      </c>
      <c r="AD216" s="121">
        <v>901839790</v>
      </c>
      <c r="AE216" s="122" t="s">
        <v>977</v>
      </c>
      <c r="AF216" s="126"/>
      <c r="AG216" s="114"/>
      <c r="AH216" s="21" t="s">
        <v>185</v>
      </c>
      <c r="AI216" s="21"/>
      <c r="AJ216" s="21"/>
      <c r="AK216" s="118">
        <v>16787660</v>
      </c>
      <c r="AL216" s="118">
        <f t="shared" si="41"/>
        <v>104468585</v>
      </c>
      <c r="AM216" s="123"/>
      <c r="AN216" s="123"/>
      <c r="AO216" s="123"/>
      <c r="AP216" s="123"/>
      <c r="AQ216" s="123"/>
      <c r="AR216" s="123"/>
      <c r="AS216" s="123"/>
      <c r="AT216" s="123"/>
      <c r="AU216" s="123"/>
      <c r="AV216" s="123">
        <v>0.1</v>
      </c>
      <c r="AW216" s="124">
        <f>IF(AK216="","",AK216)</f>
        <v>16787660</v>
      </c>
      <c r="AX216" s="124">
        <f>IF(AK216="","",ROUND(AL216/INT(LEFT(AH216,FIND("m",AH216)-1))*50%,0))</f>
        <v>7462042</v>
      </c>
      <c r="AY216" s="124">
        <f>IF(AK216="","",ROUND(AL216*40%,2))</f>
        <v>41787434</v>
      </c>
      <c r="AZ216" s="124">
        <f>IF(AK216="","",ROUND(AL216*10%,2))</f>
        <v>10446858.5</v>
      </c>
      <c r="BA216" s="21"/>
      <c r="BB216" s="21"/>
      <c r="BC216" s="21"/>
      <c r="BD216" s="21"/>
      <c r="BE216" s="21"/>
      <c r="BF216" s="21"/>
      <c r="BG216" s="21"/>
      <c r="BH216" s="21"/>
      <c r="BI216" s="21"/>
      <c r="BJ216" s="21"/>
    </row>
    <row r="217" spans="1:62" ht="14" x14ac:dyDescent="0.15">
      <c r="A217" s="17">
        <v>213</v>
      </c>
      <c r="B217" s="16" t="s">
        <v>981</v>
      </c>
      <c r="C217" s="15">
        <v>58791950</v>
      </c>
      <c r="D217" s="112">
        <v>45399</v>
      </c>
      <c r="E217" s="21" t="s">
        <v>723</v>
      </c>
      <c r="F217" s="15">
        <f t="shared" si="42"/>
        <v>58791950</v>
      </c>
      <c r="G217" s="21" t="s">
        <v>62</v>
      </c>
      <c r="H217" s="145">
        <f t="shared" si="33"/>
        <v>0</v>
      </c>
      <c r="I217" s="21" t="s">
        <v>512</v>
      </c>
      <c r="J217" s="152" t="s">
        <v>136</v>
      </c>
      <c r="K217" s="21" t="s">
        <v>982</v>
      </c>
      <c r="L217" s="112">
        <v>45397</v>
      </c>
      <c r="M217" s="127">
        <v>138</v>
      </c>
      <c r="N217" s="114">
        <v>45341</v>
      </c>
      <c r="O217" s="122" t="s">
        <v>830</v>
      </c>
      <c r="P217" s="115" t="s">
        <v>983</v>
      </c>
      <c r="Q217" s="115" t="s">
        <v>984</v>
      </c>
      <c r="R217" s="116" t="s">
        <v>514</v>
      </c>
      <c r="S217" s="115" t="s">
        <v>69</v>
      </c>
      <c r="T217" s="117"/>
      <c r="U217" s="117" t="s">
        <v>124</v>
      </c>
      <c r="V217" s="138">
        <v>58791950</v>
      </c>
      <c r="W217" s="145"/>
      <c r="X217" s="118" t="s">
        <v>1117</v>
      </c>
      <c r="Y217" s="15">
        <v>58791950</v>
      </c>
      <c r="Z217" s="118" t="s">
        <v>70</v>
      </c>
      <c r="AA217" s="118"/>
      <c r="AB217" s="119" t="s">
        <v>515</v>
      </c>
      <c r="AC217" s="120"/>
      <c r="AD217" s="121">
        <v>901593801</v>
      </c>
      <c r="AE217" s="122" t="s">
        <v>1311</v>
      </c>
      <c r="AF217" s="126"/>
      <c r="AG217" s="114">
        <v>45536</v>
      </c>
      <c r="AH217" s="21" t="s">
        <v>326</v>
      </c>
      <c r="AI217" s="21"/>
      <c r="AJ217" s="21"/>
      <c r="AK217" s="118"/>
      <c r="AL217" s="145">
        <v>58791950</v>
      </c>
      <c r="AM217" s="123"/>
      <c r="AN217" s="123"/>
      <c r="AO217" s="123"/>
      <c r="AP217" s="123"/>
      <c r="AQ217" s="123"/>
      <c r="AR217" s="123"/>
      <c r="AS217" s="123"/>
      <c r="AT217" s="123"/>
      <c r="AU217" s="123"/>
      <c r="AV217" s="123"/>
      <c r="AW217" s="124" t="str">
        <f>IF(AK217="","",AK217)</f>
        <v/>
      </c>
      <c r="AX217" s="145">
        <f>+AL217*0.9</f>
        <v>52912755</v>
      </c>
      <c r="AY217" s="124"/>
      <c r="AZ217" s="124">
        <f>+AL217*0.1</f>
        <v>5879195</v>
      </c>
      <c r="BA217" s="21" t="s">
        <v>985</v>
      </c>
      <c r="BB217" s="21"/>
      <c r="BC217" s="21"/>
      <c r="BD217" s="21"/>
      <c r="BE217" s="21"/>
      <c r="BF217" s="21"/>
      <c r="BG217" s="21"/>
      <c r="BH217" s="21"/>
      <c r="BI217" s="21"/>
      <c r="BJ217" s="21"/>
    </row>
    <row r="218" spans="1:62" ht="14" x14ac:dyDescent="0.15">
      <c r="A218" s="17">
        <v>214</v>
      </c>
      <c r="B218" s="16" t="s">
        <v>986</v>
      </c>
      <c r="C218" s="15">
        <v>238669754</v>
      </c>
      <c r="D218" s="112">
        <v>45404</v>
      </c>
      <c r="E218" s="21" t="s">
        <v>723</v>
      </c>
      <c r="F218" s="15">
        <f t="shared" si="42"/>
        <v>238669754</v>
      </c>
      <c r="G218" s="21" t="s">
        <v>62</v>
      </c>
      <c r="H218" s="15">
        <f t="shared" si="33"/>
        <v>0</v>
      </c>
      <c r="I218" s="21" t="s">
        <v>259</v>
      </c>
      <c r="J218" s="152" t="s">
        <v>64</v>
      </c>
      <c r="K218" s="21" t="s">
        <v>987</v>
      </c>
      <c r="L218" s="112">
        <v>45404</v>
      </c>
      <c r="M218" s="153" t="s">
        <v>988</v>
      </c>
      <c r="N218" s="114">
        <v>45323</v>
      </c>
      <c r="O218" s="122" t="s">
        <v>830</v>
      </c>
      <c r="P218" s="115" t="s">
        <v>989</v>
      </c>
      <c r="Q218" s="150" t="s">
        <v>990</v>
      </c>
      <c r="R218" s="116" t="s">
        <v>260</v>
      </c>
      <c r="S218" s="115" t="s">
        <v>69</v>
      </c>
      <c r="T218" s="117">
        <v>45405</v>
      </c>
      <c r="U218" s="117" t="s">
        <v>124</v>
      </c>
      <c r="V218" s="137">
        <v>238669754</v>
      </c>
      <c r="W218" s="118"/>
      <c r="X218" s="118" t="s">
        <v>1117</v>
      </c>
      <c r="Y218" s="118">
        <f>+V218</f>
        <v>238669754</v>
      </c>
      <c r="Z218" s="118" t="s">
        <v>70</v>
      </c>
      <c r="AA218" s="118"/>
      <c r="AB218" s="119" t="s">
        <v>261</v>
      </c>
      <c r="AC218" s="117">
        <v>45405</v>
      </c>
      <c r="AD218" s="121">
        <v>901581149</v>
      </c>
      <c r="AE218" s="122" t="s">
        <v>1280</v>
      </c>
      <c r="AF218" s="126"/>
      <c r="AG218" s="114">
        <v>45539</v>
      </c>
      <c r="AH218" s="21" t="s">
        <v>326</v>
      </c>
      <c r="AI218" s="21" t="s">
        <v>768</v>
      </c>
      <c r="AJ218" s="21"/>
      <c r="AK218" s="118">
        <v>0</v>
      </c>
      <c r="AL218" s="118">
        <f>+V218</f>
        <v>238669754</v>
      </c>
      <c r="AM218" s="123"/>
      <c r="AN218" s="123"/>
      <c r="AO218" s="123"/>
      <c r="AP218" s="123"/>
      <c r="AQ218" s="123"/>
      <c r="AR218" s="123"/>
      <c r="AS218" s="123"/>
      <c r="AT218" s="123"/>
      <c r="AU218" s="123"/>
      <c r="AV218" s="123"/>
      <c r="AW218" s="124">
        <f>IF(AK218="","",AK218)</f>
        <v>0</v>
      </c>
      <c r="AX218" s="124">
        <f>IF(AK218="","",ROUND(AL218/INT(LEFT(AH218,FIND("m",AH218)-1))*50%,0))</f>
        <v>119334877</v>
      </c>
      <c r="AY218" s="124">
        <f>IF(AK218="","",ROUND(AL218*40%,2))</f>
        <v>95467901.599999994</v>
      </c>
      <c r="AZ218" s="124">
        <f>IF(AK218="","",ROUND(AL218*10%,2))</f>
        <v>23866975.399999999</v>
      </c>
      <c r="BA218" s="21"/>
      <c r="BB218" s="21"/>
      <c r="BC218" s="21"/>
      <c r="BD218" s="21"/>
      <c r="BE218" s="21"/>
      <c r="BF218" s="21"/>
      <c r="BG218" s="21"/>
      <c r="BH218" s="21"/>
      <c r="BI218" s="21"/>
      <c r="BJ218" s="21"/>
    </row>
    <row r="219" spans="1:62" ht="14" x14ac:dyDescent="0.15">
      <c r="A219" s="17">
        <v>215</v>
      </c>
      <c r="B219" s="16" t="s">
        <v>991</v>
      </c>
      <c r="C219" s="15">
        <v>60000000</v>
      </c>
      <c r="D219" s="112">
        <v>45434</v>
      </c>
      <c r="E219" s="21" t="s">
        <v>723</v>
      </c>
      <c r="F219" s="15">
        <f t="shared" si="42"/>
        <v>60000000</v>
      </c>
      <c r="G219" s="21" t="s">
        <v>62</v>
      </c>
      <c r="H219" s="15">
        <f t="shared" si="33"/>
        <v>0</v>
      </c>
      <c r="I219" s="21" t="s">
        <v>110</v>
      </c>
      <c r="J219" s="21" t="s">
        <v>102</v>
      </c>
      <c r="K219" s="21" t="s">
        <v>992</v>
      </c>
      <c r="L219" s="112">
        <v>45432</v>
      </c>
      <c r="M219" s="127">
        <v>20030002</v>
      </c>
      <c r="N219" s="114">
        <v>45371</v>
      </c>
      <c r="O219" s="122" t="s">
        <v>830</v>
      </c>
      <c r="P219" s="115" t="s">
        <v>993</v>
      </c>
      <c r="Q219" s="115" t="s">
        <v>947</v>
      </c>
      <c r="R219" s="116" t="s">
        <v>236</v>
      </c>
      <c r="S219" s="115" t="s">
        <v>69</v>
      </c>
      <c r="T219" s="117">
        <v>45442</v>
      </c>
      <c r="U219" s="117" t="s">
        <v>124</v>
      </c>
      <c r="V219" s="137">
        <v>60000000</v>
      </c>
      <c r="W219" s="118"/>
      <c r="X219" s="118" t="s">
        <v>1117</v>
      </c>
      <c r="Y219" s="118">
        <v>60000000</v>
      </c>
      <c r="Z219" s="118" t="s">
        <v>70</v>
      </c>
      <c r="AA219" s="118"/>
      <c r="AB219" s="119" t="s">
        <v>237</v>
      </c>
      <c r="AC219" s="117">
        <v>45442</v>
      </c>
      <c r="AD219" s="121">
        <v>901579530</v>
      </c>
      <c r="AE219" s="122" t="s">
        <v>1269</v>
      </c>
      <c r="AF219" s="126"/>
      <c r="AG219" s="114">
        <v>45539</v>
      </c>
      <c r="AH219" s="21" t="s">
        <v>748</v>
      </c>
      <c r="AI219" s="21"/>
      <c r="AJ219" s="21"/>
      <c r="AK219" s="118"/>
      <c r="AL219" s="118">
        <v>60000000</v>
      </c>
      <c r="AM219" s="123"/>
      <c r="AN219" s="123"/>
      <c r="AO219" s="123"/>
      <c r="AP219" s="123"/>
      <c r="AQ219" s="123"/>
      <c r="AR219" s="123"/>
      <c r="AS219" s="123"/>
      <c r="AT219" s="123"/>
      <c r="AU219" s="123"/>
      <c r="AV219" s="123">
        <v>0.1</v>
      </c>
      <c r="AW219" s="124"/>
      <c r="AX219" s="124">
        <v>54000000</v>
      </c>
      <c r="AY219" s="124"/>
      <c r="AZ219" s="124">
        <v>6000000</v>
      </c>
      <c r="BA219" s="21" t="s">
        <v>117</v>
      </c>
      <c r="BB219" s="21"/>
      <c r="BC219" s="21"/>
      <c r="BD219" s="21"/>
      <c r="BE219" s="21"/>
      <c r="BF219" s="21"/>
      <c r="BG219" s="21"/>
      <c r="BH219" s="21"/>
      <c r="BI219" s="21"/>
      <c r="BJ219" s="21"/>
    </row>
    <row r="220" spans="1:62" ht="14" x14ac:dyDescent="0.15">
      <c r="A220" s="17">
        <v>216</v>
      </c>
      <c r="B220" s="16" t="s">
        <v>994</v>
      </c>
      <c r="C220" s="154">
        <v>7562309</v>
      </c>
      <c r="D220" s="112">
        <v>45434</v>
      </c>
      <c r="E220" s="21" t="s">
        <v>85</v>
      </c>
      <c r="F220" s="15">
        <f t="shared" si="42"/>
        <v>7562309</v>
      </c>
      <c r="G220" s="21" t="s">
        <v>62</v>
      </c>
      <c r="H220" s="15">
        <f t="shared" si="33"/>
        <v>0</v>
      </c>
      <c r="I220" s="21" t="s">
        <v>485</v>
      </c>
      <c r="J220" s="21" t="s">
        <v>87</v>
      </c>
      <c r="K220" s="21" t="s">
        <v>992</v>
      </c>
      <c r="L220" s="112">
        <v>45432</v>
      </c>
      <c r="M220" s="127">
        <v>176921</v>
      </c>
      <c r="N220" s="114">
        <v>44477</v>
      </c>
      <c r="O220" s="115" t="s">
        <v>66</v>
      </c>
      <c r="P220" s="115" t="s">
        <v>767</v>
      </c>
      <c r="Q220" s="115" t="s">
        <v>947</v>
      </c>
      <c r="R220" s="116" t="s">
        <v>602</v>
      </c>
      <c r="S220" s="115" t="s">
        <v>69</v>
      </c>
      <c r="T220" s="117">
        <v>45442</v>
      </c>
      <c r="U220" s="117"/>
      <c r="V220" s="118">
        <v>7562309</v>
      </c>
      <c r="W220" s="118"/>
      <c r="X220" s="118" t="s">
        <v>1154</v>
      </c>
      <c r="Y220" s="118">
        <f>+V220</f>
        <v>7562309</v>
      </c>
      <c r="Z220" s="118" t="s">
        <v>70</v>
      </c>
      <c r="AA220" s="118"/>
      <c r="AB220" s="119" t="s">
        <v>603</v>
      </c>
      <c r="AC220" s="117">
        <v>45442</v>
      </c>
      <c r="AD220" s="121">
        <v>901450714</v>
      </c>
      <c r="AE220" s="122" t="s">
        <v>1319</v>
      </c>
      <c r="AF220" s="126"/>
      <c r="AG220" s="114"/>
      <c r="AH220" s="21"/>
      <c r="AI220" s="21" t="s">
        <v>590</v>
      </c>
      <c r="AJ220" s="21"/>
      <c r="AK220" s="118">
        <v>0</v>
      </c>
      <c r="AL220" s="118">
        <v>7562309</v>
      </c>
      <c r="AM220" s="123"/>
      <c r="AN220" s="123"/>
      <c r="AO220" s="123"/>
      <c r="AP220" s="123"/>
      <c r="AQ220" s="123"/>
      <c r="AR220" s="123"/>
      <c r="AS220" s="123"/>
      <c r="AT220" s="123"/>
      <c r="AU220" s="123"/>
      <c r="AV220" s="123">
        <v>0.1</v>
      </c>
      <c r="AW220" s="124"/>
      <c r="AX220" s="124">
        <f>IF(AK220="","",ROUND(AL220*100%,2))</f>
        <v>7562309</v>
      </c>
      <c r="AY220" s="124"/>
      <c r="AZ220" s="124"/>
      <c r="BA220" s="21"/>
      <c r="BB220" s="21"/>
      <c r="BC220" s="21"/>
      <c r="BD220" s="21"/>
      <c r="BE220" s="21"/>
      <c r="BF220" s="21"/>
      <c r="BG220" s="21"/>
      <c r="BH220" s="21"/>
      <c r="BI220" s="21"/>
      <c r="BJ220" s="21"/>
    </row>
    <row r="221" spans="1:62" ht="15" customHeight="1" x14ac:dyDescent="0.15">
      <c r="A221" s="17">
        <v>217</v>
      </c>
      <c r="B221" s="16" t="s">
        <v>995</v>
      </c>
      <c r="C221" s="154">
        <v>22162366</v>
      </c>
      <c r="D221" s="112">
        <v>45434</v>
      </c>
      <c r="E221" s="21" t="s">
        <v>480</v>
      </c>
      <c r="F221" s="15">
        <f t="shared" si="42"/>
        <v>22162366</v>
      </c>
      <c r="G221" s="16"/>
      <c r="H221" s="15">
        <f t="shared" si="33"/>
        <v>0</v>
      </c>
      <c r="I221" s="21" t="s">
        <v>485</v>
      </c>
      <c r="J221" s="21" t="s">
        <v>87</v>
      </c>
      <c r="K221" s="21" t="s">
        <v>992</v>
      </c>
      <c r="L221" s="112">
        <v>45432</v>
      </c>
      <c r="M221" s="127">
        <v>176921</v>
      </c>
      <c r="N221" s="114">
        <v>44477</v>
      </c>
      <c r="O221" s="115" t="s">
        <v>66</v>
      </c>
      <c r="P221" s="115" t="s">
        <v>767</v>
      </c>
      <c r="Q221" s="115" t="s">
        <v>947</v>
      </c>
      <c r="R221" s="116" t="s">
        <v>598</v>
      </c>
      <c r="S221" s="115" t="s">
        <v>69</v>
      </c>
      <c r="T221" s="117">
        <v>45442</v>
      </c>
      <c r="U221" s="117"/>
      <c r="V221" s="118">
        <v>22162366</v>
      </c>
      <c r="W221" s="118"/>
      <c r="X221" s="118" t="s">
        <v>1154</v>
      </c>
      <c r="Y221" s="118">
        <f>+V221</f>
        <v>22162366</v>
      </c>
      <c r="Z221" s="118" t="s">
        <v>70</v>
      </c>
      <c r="AA221" s="118"/>
      <c r="AB221" s="119" t="s">
        <v>599</v>
      </c>
      <c r="AC221" s="117">
        <v>45442</v>
      </c>
      <c r="AD221" s="121">
        <v>901684711</v>
      </c>
      <c r="AE221" s="122" t="s">
        <v>1318</v>
      </c>
      <c r="AF221" s="126"/>
      <c r="AG221" s="114"/>
      <c r="AH221" s="21"/>
      <c r="AI221" s="21"/>
      <c r="AJ221" s="21"/>
      <c r="AK221" s="118"/>
      <c r="AL221" s="118">
        <v>22162366</v>
      </c>
      <c r="AM221" s="123"/>
      <c r="AN221" s="123"/>
      <c r="AO221" s="123"/>
      <c r="AP221" s="123"/>
      <c r="AQ221" s="123"/>
      <c r="AR221" s="123"/>
      <c r="AS221" s="123"/>
      <c r="AT221" s="123"/>
      <c r="AU221" s="123"/>
      <c r="AV221" s="123"/>
      <c r="AW221" s="124"/>
      <c r="AX221" s="124"/>
      <c r="AY221" s="118">
        <v>22162366</v>
      </c>
      <c r="AZ221" s="124"/>
      <c r="BA221" s="21"/>
      <c r="BB221" s="21"/>
      <c r="BC221" s="21"/>
      <c r="BD221" s="21"/>
      <c r="BE221" s="21"/>
      <c r="BF221" s="21"/>
      <c r="BG221" s="21"/>
      <c r="BH221" s="21"/>
      <c r="BI221" s="21"/>
      <c r="BJ221" s="21"/>
    </row>
    <row r="222" spans="1:62" ht="14" x14ac:dyDescent="0.15">
      <c r="A222" s="17">
        <v>218</v>
      </c>
      <c r="B222" s="16" t="s">
        <v>996</v>
      </c>
      <c r="C222" s="15">
        <v>101686099</v>
      </c>
      <c r="D222" s="112">
        <v>45436</v>
      </c>
      <c r="E222" s="21" t="s">
        <v>480</v>
      </c>
      <c r="F222" s="15">
        <f t="shared" si="42"/>
        <v>101686099</v>
      </c>
      <c r="G222" s="21" t="s">
        <v>62</v>
      </c>
      <c r="H222" s="15">
        <f t="shared" si="33"/>
        <v>0</v>
      </c>
      <c r="I222" s="21" t="s">
        <v>841</v>
      </c>
      <c r="J222" s="15" t="s">
        <v>199</v>
      </c>
      <c r="K222" s="21" t="s">
        <v>997</v>
      </c>
      <c r="L222" s="112">
        <v>45435</v>
      </c>
      <c r="M222" s="127">
        <v>176921</v>
      </c>
      <c r="N222" s="114">
        <v>44477</v>
      </c>
      <c r="O222" s="115" t="s">
        <v>66</v>
      </c>
      <c r="P222" s="115" t="s">
        <v>767</v>
      </c>
      <c r="Q222" s="115" t="s">
        <v>947</v>
      </c>
      <c r="R222" s="116" t="s">
        <v>842</v>
      </c>
      <c r="S222" s="115" t="s">
        <v>69</v>
      </c>
      <c r="T222" s="117"/>
      <c r="U222" s="117"/>
      <c r="V222" s="118">
        <v>101686099</v>
      </c>
      <c r="W222" s="118"/>
      <c r="X222" s="118" t="s">
        <v>1154</v>
      </c>
      <c r="Y222" s="118">
        <f>+V222</f>
        <v>101686099</v>
      </c>
      <c r="Z222" s="118" t="s">
        <v>70</v>
      </c>
      <c r="AA222" s="118"/>
      <c r="AB222" s="119" t="s">
        <v>843</v>
      </c>
      <c r="AC222" s="120"/>
      <c r="AD222" s="121">
        <v>901782618</v>
      </c>
      <c r="AE222" s="122" t="s">
        <v>1343</v>
      </c>
      <c r="AF222" s="126"/>
      <c r="AG222" s="114"/>
      <c r="AH222" s="21"/>
      <c r="AI222" s="21"/>
      <c r="AJ222" s="21"/>
      <c r="AK222" s="118"/>
      <c r="AL222" s="118">
        <v>101686099</v>
      </c>
      <c r="AM222" s="123"/>
      <c r="AN222" s="123"/>
      <c r="AO222" s="123"/>
      <c r="AP222" s="123"/>
      <c r="AQ222" s="123"/>
      <c r="AR222" s="123"/>
      <c r="AS222" s="123"/>
      <c r="AT222" s="123"/>
      <c r="AU222" s="123"/>
      <c r="AV222" s="123"/>
      <c r="AW222" s="124"/>
      <c r="AX222" s="124"/>
      <c r="AY222" s="124">
        <f>+AL222</f>
        <v>101686099</v>
      </c>
      <c r="AZ222" s="124"/>
      <c r="BA222" s="21" t="s">
        <v>670</v>
      </c>
      <c r="BB222" s="21"/>
      <c r="BC222" s="21"/>
      <c r="BD222" s="21"/>
      <c r="BE222" s="21"/>
      <c r="BF222" s="21"/>
      <c r="BG222" s="21"/>
      <c r="BH222" s="21"/>
      <c r="BI222" s="21"/>
      <c r="BJ222" s="21"/>
    </row>
    <row r="223" spans="1:62" ht="14" x14ac:dyDescent="0.15">
      <c r="A223" s="17">
        <v>219</v>
      </c>
      <c r="B223" s="16" t="s">
        <v>998</v>
      </c>
      <c r="C223" s="15">
        <v>276706238</v>
      </c>
      <c r="D223" s="112">
        <v>45439</v>
      </c>
      <c r="E223" s="21" t="s">
        <v>61</v>
      </c>
      <c r="F223" s="15">
        <f t="shared" si="42"/>
        <v>276706238</v>
      </c>
      <c r="G223" s="21" t="s">
        <v>62</v>
      </c>
      <c r="H223" s="15">
        <f t="shared" ref="H223:H230" si="43">C223-F223</f>
        <v>0</v>
      </c>
      <c r="I223" s="21" t="s">
        <v>86</v>
      </c>
      <c r="J223" s="21" t="s">
        <v>87</v>
      </c>
      <c r="K223" s="21" t="s">
        <v>999</v>
      </c>
      <c r="L223" s="112">
        <v>45439</v>
      </c>
      <c r="M223" s="127">
        <v>176821</v>
      </c>
      <c r="N223" s="114">
        <v>44477</v>
      </c>
      <c r="O223" s="115" t="s">
        <v>66</v>
      </c>
      <c r="P223" s="115" t="s">
        <v>767</v>
      </c>
      <c r="Q223" s="115" t="s">
        <v>947</v>
      </c>
      <c r="R223" s="116" t="s">
        <v>89</v>
      </c>
      <c r="S223" s="115" t="s">
        <v>69</v>
      </c>
      <c r="T223" s="120">
        <v>45440</v>
      </c>
      <c r="U223" s="117"/>
      <c r="V223" s="118">
        <v>276706238</v>
      </c>
      <c r="W223" s="118"/>
      <c r="X223" s="125" t="s">
        <v>1352</v>
      </c>
      <c r="Y223" s="118">
        <f>+V223</f>
        <v>276706238</v>
      </c>
      <c r="Z223" s="118" t="s">
        <v>70</v>
      </c>
      <c r="AA223" s="118"/>
      <c r="AB223" s="119" t="s">
        <v>90</v>
      </c>
      <c r="AC223" s="120">
        <v>45440</v>
      </c>
      <c r="AD223" s="121">
        <v>901574691</v>
      </c>
      <c r="AE223" s="122" t="s">
        <v>1262</v>
      </c>
      <c r="AF223" s="126"/>
      <c r="AG223" s="114"/>
      <c r="AH223" s="21" t="s">
        <v>326</v>
      </c>
      <c r="AI223" s="21"/>
      <c r="AJ223" s="21"/>
      <c r="AK223" s="118"/>
      <c r="AL223" s="118">
        <f>+V223</f>
        <v>276706238</v>
      </c>
      <c r="AM223" s="123"/>
      <c r="AN223" s="123"/>
      <c r="AO223" s="123"/>
      <c r="AP223" s="123"/>
      <c r="AQ223" s="123"/>
      <c r="AR223" s="123"/>
      <c r="AS223" s="123"/>
      <c r="AT223" s="123"/>
      <c r="AU223" s="123"/>
      <c r="AV223" s="123">
        <v>0.1</v>
      </c>
      <c r="AW223" s="124">
        <v>0</v>
      </c>
      <c r="AX223" s="124">
        <f>+AL223-AZ223-AY223</f>
        <v>138353119.00000009</v>
      </c>
      <c r="AY223" s="124">
        <v>110682495.19999993</v>
      </c>
      <c r="AZ223" s="124">
        <v>27670623.799999982</v>
      </c>
      <c r="BA223" s="21"/>
      <c r="BB223" s="21"/>
      <c r="BC223" s="21"/>
      <c r="BD223" s="21"/>
      <c r="BE223" s="21"/>
      <c r="BF223" s="21"/>
      <c r="BG223" s="21"/>
      <c r="BH223" s="21"/>
      <c r="BI223" s="21"/>
      <c r="BJ223" s="21"/>
    </row>
    <row r="224" spans="1:62" ht="14" x14ac:dyDescent="0.15">
      <c r="A224" s="17">
        <v>220</v>
      </c>
      <c r="B224" s="16" t="s">
        <v>1000</v>
      </c>
      <c r="C224" s="15">
        <v>46218750</v>
      </c>
      <c r="D224" s="112">
        <v>45439</v>
      </c>
      <c r="E224" s="21" t="s">
        <v>723</v>
      </c>
      <c r="F224" s="15">
        <f t="shared" si="42"/>
        <v>46218750</v>
      </c>
      <c r="G224" s="21" t="s">
        <v>62</v>
      </c>
      <c r="H224" s="15">
        <f t="shared" si="43"/>
        <v>0</v>
      </c>
      <c r="I224" s="21" t="s">
        <v>231</v>
      </c>
      <c r="J224" s="21" t="s">
        <v>176</v>
      </c>
      <c r="K224" s="21" t="s">
        <v>999</v>
      </c>
      <c r="L224" s="112">
        <v>45439</v>
      </c>
      <c r="M224" s="127">
        <v>115</v>
      </c>
      <c r="N224" s="114">
        <v>45350</v>
      </c>
      <c r="O224" s="115" t="s">
        <v>830</v>
      </c>
      <c r="P224" s="115" t="s">
        <v>1001</v>
      </c>
      <c r="Q224" s="155" t="s">
        <v>1002</v>
      </c>
      <c r="R224" s="116" t="s">
        <v>232</v>
      </c>
      <c r="S224" s="115" t="s">
        <v>69</v>
      </c>
      <c r="T224" s="117"/>
      <c r="U224" s="117" t="s">
        <v>124</v>
      </c>
      <c r="V224" s="137">
        <v>46218750</v>
      </c>
      <c r="W224" s="118"/>
      <c r="X224" s="118"/>
      <c r="Y224" s="118">
        <v>46218750</v>
      </c>
      <c r="Z224" s="118" t="s">
        <v>79</v>
      </c>
      <c r="AA224" s="118"/>
      <c r="AB224" s="129" t="s">
        <v>233</v>
      </c>
      <c r="AC224" s="120"/>
      <c r="AD224" s="121">
        <v>901580365</v>
      </c>
      <c r="AE224" s="122" t="s">
        <v>1278</v>
      </c>
      <c r="AF224" s="126"/>
      <c r="AG224" s="114"/>
      <c r="AH224" s="21"/>
      <c r="AI224" s="21"/>
      <c r="AJ224" s="21"/>
      <c r="AK224" s="118"/>
      <c r="AL224" s="118">
        <v>46218750</v>
      </c>
      <c r="AM224" s="123"/>
      <c r="AN224" s="123"/>
      <c r="AO224" s="123"/>
      <c r="AP224" s="123"/>
      <c r="AQ224" s="123"/>
      <c r="AR224" s="123"/>
      <c r="AS224" s="123"/>
      <c r="AT224" s="123"/>
      <c r="AU224" s="123"/>
      <c r="AV224" s="123"/>
      <c r="AW224" s="124"/>
      <c r="AX224" s="124">
        <f>+AL224*0.9</f>
        <v>41596875</v>
      </c>
      <c r="AY224" s="124"/>
      <c r="AZ224" s="124">
        <f>+AL224*0.1</f>
        <v>4621875</v>
      </c>
      <c r="BA224" s="21"/>
      <c r="BB224" s="21"/>
      <c r="BC224" s="21"/>
      <c r="BD224" s="21"/>
      <c r="BE224" s="21"/>
      <c r="BF224" s="21"/>
      <c r="BG224" s="21"/>
      <c r="BH224" s="21"/>
      <c r="BI224" s="21"/>
      <c r="BJ224" s="21"/>
    </row>
    <row r="225" spans="1:62" ht="14" x14ac:dyDescent="0.15">
      <c r="A225" s="17" t="s">
        <v>1003</v>
      </c>
      <c r="B225" s="16" t="s">
        <v>1004</v>
      </c>
      <c r="C225" s="15">
        <v>52564083.670000002</v>
      </c>
      <c r="D225" s="112">
        <v>45418</v>
      </c>
      <c r="E225" s="21" t="s">
        <v>723</v>
      </c>
      <c r="F225" s="15">
        <f t="shared" si="42"/>
        <v>52564083.670000002</v>
      </c>
      <c r="G225" s="21" t="s">
        <v>62</v>
      </c>
      <c r="H225" s="15">
        <f t="shared" si="43"/>
        <v>0</v>
      </c>
      <c r="I225" s="21" t="s">
        <v>661</v>
      </c>
      <c r="J225" s="21" t="s">
        <v>141</v>
      </c>
      <c r="K225" s="21" t="s">
        <v>1005</v>
      </c>
      <c r="L225" s="112">
        <v>45418</v>
      </c>
      <c r="M225" s="127" t="s">
        <v>1006</v>
      </c>
      <c r="N225" s="114" t="s">
        <v>1351</v>
      </c>
      <c r="O225" s="115" t="s">
        <v>1007</v>
      </c>
      <c r="P225" s="115" t="s">
        <v>1007</v>
      </c>
      <c r="Q225" s="115" t="s">
        <v>1008</v>
      </c>
      <c r="R225" s="116" t="s">
        <v>736</v>
      </c>
      <c r="S225" s="115" t="s">
        <v>69</v>
      </c>
      <c r="T225" s="117">
        <v>45418</v>
      </c>
      <c r="U225" s="117" t="s">
        <v>124</v>
      </c>
      <c r="V225" s="124">
        <v>52564083.670000002</v>
      </c>
      <c r="W225" s="124"/>
      <c r="X225" s="118" t="s">
        <v>1006</v>
      </c>
      <c r="Y225" s="124">
        <v>52564083.670000002</v>
      </c>
      <c r="Z225" s="118" t="s">
        <v>70</v>
      </c>
      <c r="AA225" s="118"/>
      <c r="AB225" s="119" t="s">
        <v>737</v>
      </c>
      <c r="AC225" s="120">
        <v>45418</v>
      </c>
      <c r="AD225" s="121">
        <v>901724275</v>
      </c>
      <c r="AE225" s="122" t="s">
        <v>1339</v>
      </c>
      <c r="AF225" s="126"/>
      <c r="AG225" s="114"/>
      <c r="AH225" s="21" t="s">
        <v>1009</v>
      </c>
      <c r="AI225" s="21"/>
      <c r="AJ225" s="21"/>
      <c r="AK225" s="124">
        <v>0</v>
      </c>
      <c r="AL225" s="124">
        <f>V225-AK225</f>
        <v>52564083.670000002</v>
      </c>
      <c r="AM225" s="123"/>
      <c r="AN225" s="123"/>
      <c r="AO225" s="123"/>
      <c r="AP225" s="123"/>
      <c r="AQ225" s="123"/>
      <c r="AR225" s="123"/>
      <c r="AS225" s="123"/>
      <c r="AT225" s="123"/>
      <c r="AU225" s="123"/>
      <c r="AV225" s="123">
        <v>0</v>
      </c>
      <c r="AW225" s="124"/>
      <c r="AX225" s="124">
        <f>+AL225/2</f>
        <v>26282041.835000001</v>
      </c>
      <c r="AY225" s="124">
        <v>0</v>
      </c>
      <c r="AZ225" s="124">
        <v>0</v>
      </c>
      <c r="BA225" s="21" t="s">
        <v>578</v>
      </c>
      <c r="BB225" s="21"/>
      <c r="BC225" s="21"/>
      <c r="BD225" s="21"/>
      <c r="BE225" s="21"/>
      <c r="BF225" s="21"/>
      <c r="BG225" s="21"/>
      <c r="BH225" s="21"/>
      <c r="BI225" s="21"/>
      <c r="BJ225" s="21"/>
    </row>
    <row r="226" spans="1:62" ht="14" x14ac:dyDescent="0.15">
      <c r="A226" s="17">
        <v>221</v>
      </c>
      <c r="B226" s="16" t="s">
        <v>778</v>
      </c>
      <c r="C226" s="15">
        <v>148722879</v>
      </c>
      <c r="D226" s="112">
        <v>45455</v>
      </c>
      <c r="E226" s="21" t="s">
        <v>723</v>
      </c>
      <c r="F226" s="15">
        <f t="shared" si="42"/>
        <v>148722879</v>
      </c>
      <c r="G226" s="21" t="s">
        <v>62</v>
      </c>
      <c r="H226" s="15">
        <f t="shared" si="43"/>
        <v>0</v>
      </c>
      <c r="I226" s="21" t="s">
        <v>101</v>
      </c>
      <c r="J226" s="21" t="s">
        <v>102</v>
      </c>
      <c r="K226" s="21" t="s">
        <v>1010</v>
      </c>
      <c r="L226" s="112">
        <v>45455</v>
      </c>
      <c r="M226" s="127">
        <v>202303905</v>
      </c>
      <c r="N226" s="114">
        <v>45265</v>
      </c>
      <c r="O226" s="115" t="s">
        <v>830</v>
      </c>
      <c r="P226" s="115" t="s">
        <v>1011</v>
      </c>
      <c r="Q226" s="115"/>
      <c r="R226" s="116" t="s">
        <v>103</v>
      </c>
      <c r="S226" s="115" t="s">
        <v>69</v>
      </c>
      <c r="T226" s="117">
        <v>45456</v>
      </c>
      <c r="U226" s="117" t="s">
        <v>124</v>
      </c>
      <c r="V226" s="137">
        <v>148722879</v>
      </c>
      <c r="W226" s="118"/>
      <c r="X226" s="118" t="s">
        <v>1117</v>
      </c>
      <c r="Y226" s="118">
        <v>148722879</v>
      </c>
      <c r="Z226" s="125" t="s">
        <v>104</v>
      </c>
      <c r="AA226" s="118"/>
      <c r="AB226" s="119" t="s">
        <v>105</v>
      </c>
      <c r="AC226" s="117">
        <v>45456</v>
      </c>
      <c r="AD226" s="121">
        <v>901575078</v>
      </c>
      <c r="AE226" s="122" t="s">
        <v>1264</v>
      </c>
      <c r="AF226" s="126"/>
      <c r="AG226" s="114">
        <v>45660</v>
      </c>
      <c r="AH226" s="21" t="s">
        <v>163</v>
      </c>
      <c r="AI226" s="21"/>
      <c r="AJ226" s="21"/>
      <c r="AK226" s="124">
        <v>0</v>
      </c>
      <c r="AL226" s="124">
        <v>148722879</v>
      </c>
      <c r="AM226" s="123"/>
      <c r="AN226" s="123"/>
      <c r="AO226" s="123"/>
      <c r="AP226" s="123"/>
      <c r="AQ226" s="123"/>
      <c r="AR226" s="123"/>
      <c r="AS226" s="123"/>
      <c r="AT226" s="123"/>
      <c r="AU226" s="123"/>
      <c r="AV226" s="123">
        <v>0.1</v>
      </c>
      <c r="AW226" s="124"/>
      <c r="AX226" s="124">
        <f>IF(AK226="","",ROUND(AL226/(129/30)*50%,0))</f>
        <v>17293358</v>
      </c>
      <c r="AY226" s="124">
        <f>IF(AK226="","",ROUND(AL226*40%,2))</f>
        <v>59489151.600000001</v>
      </c>
      <c r="AZ226" s="124">
        <f>IF(AK226="","",ROUND(AL226*10%,2))</f>
        <v>14872287.9</v>
      </c>
      <c r="BA226" s="21" t="s">
        <v>670</v>
      </c>
      <c r="BB226" s="21"/>
      <c r="BC226" s="21"/>
      <c r="BD226" s="21"/>
      <c r="BE226" s="21"/>
      <c r="BF226" s="21"/>
      <c r="BG226" s="21"/>
      <c r="BH226" s="21"/>
      <c r="BI226" s="21"/>
      <c r="BJ226" s="21"/>
    </row>
    <row r="227" spans="1:62" ht="14" x14ac:dyDescent="0.15">
      <c r="A227" s="17">
        <v>222</v>
      </c>
      <c r="B227" s="16" t="s">
        <v>778</v>
      </c>
      <c r="C227" s="15">
        <v>472894331</v>
      </c>
      <c r="D227" s="112">
        <v>45455</v>
      </c>
      <c r="E227" s="21" t="s">
        <v>723</v>
      </c>
      <c r="F227" s="15">
        <f t="shared" si="42"/>
        <v>472894331</v>
      </c>
      <c r="G227" s="21" t="s">
        <v>62</v>
      </c>
      <c r="H227" s="15">
        <f t="shared" si="43"/>
        <v>0</v>
      </c>
      <c r="I227" s="21" t="s">
        <v>101</v>
      </c>
      <c r="J227" s="21" t="s">
        <v>102</v>
      </c>
      <c r="K227" s="21" t="s">
        <v>1012</v>
      </c>
      <c r="L227" s="112">
        <v>45455</v>
      </c>
      <c r="M227" s="127">
        <v>202401047</v>
      </c>
      <c r="N227" s="114">
        <v>45351</v>
      </c>
      <c r="O227" s="115" t="s">
        <v>830</v>
      </c>
      <c r="P227" s="115" t="s">
        <v>1011</v>
      </c>
      <c r="Q227" s="115"/>
      <c r="R227" s="116" t="s">
        <v>103</v>
      </c>
      <c r="S227" s="115" t="s">
        <v>69</v>
      </c>
      <c r="T227" s="117">
        <v>45456</v>
      </c>
      <c r="U227" s="117" t="s">
        <v>124</v>
      </c>
      <c r="V227" s="137">
        <v>472894331</v>
      </c>
      <c r="W227" s="118"/>
      <c r="X227" s="118" t="s">
        <v>1117</v>
      </c>
      <c r="Y227" s="118">
        <v>472894331</v>
      </c>
      <c r="Z227" s="125" t="s">
        <v>104</v>
      </c>
      <c r="AA227" s="118"/>
      <c r="AB227" s="119" t="s">
        <v>105</v>
      </c>
      <c r="AC227" s="117">
        <v>45456</v>
      </c>
      <c r="AD227" s="121">
        <v>901575078</v>
      </c>
      <c r="AE227" s="122" t="s">
        <v>1264</v>
      </c>
      <c r="AF227" s="126"/>
      <c r="AG227" s="114">
        <v>45660</v>
      </c>
      <c r="AH227" s="21" t="s">
        <v>163</v>
      </c>
      <c r="AI227" s="21"/>
      <c r="AJ227" s="21"/>
      <c r="AK227" s="124">
        <v>0</v>
      </c>
      <c r="AL227" s="124">
        <v>472894331</v>
      </c>
      <c r="AM227" s="123"/>
      <c r="AN227" s="123"/>
      <c r="AO227" s="123"/>
      <c r="AP227" s="123"/>
      <c r="AQ227" s="123"/>
      <c r="AR227" s="123"/>
      <c r="AS227" s="123"/>
      <c r="AT227" s="123"/>
      <c r="AU227" s="123"/>
      <c r="AV227" s="123">
        <v>0.1</v>
      </c>
      <c r="AW227" s="124"/>
      <c r="AX227" s="124">
        <f>IF(AK227="","",ROUND(AL227/(129/30)*50%,0))</f>
        <v>54987713</v>
      </c>
      <c r="AY227" s="124">
        <f>IF(AK227="","",ROUND(AL227*40%,2))</f>
        <v>189157732.40000001</v>
      </c>
      <c r="AZ227" s="124">
        <f>IF(AK227="","",ROUND(AL227*10%,2))</f>
        <v>47289433.100000001</v>
      </c>
      <c r="BA227" s="21" t="s">
        <v>670</v>
      </c>
      <c r="BB227" s="21"/>
      <c r="BC227" s="21"/>
      <c r="BD227" s="21"/>
      <c r="BE227" s="21"/>
      <c r="BF227" s="21"/>
      <c r="BG227" s="21"/>
      <c r="BH227" s="21"/>
      <c r="BI227" s="21"/>
      <c r="BJ227" s="21"/>
    </row>
    <row r="228" spans="1:62" ht="14" x14ac:dyDescent="0.15">
      <c r="A228" s="17">
        <v>223</v>
      </c>
      <c r="B228" s="16" t="s">
        <v>1013</v>
      </c>
      <c r="C228" s="15">
        <v>38863417</v>
      </c>
      <c r="D228" s="112">
        <v>45455</v>
      </c>
      <c r="E228" s="21" t="s">
        <v>61</v>
      </c>
      <c r="F228" s="15">
        <f t="shared" si="42"/>
        <v>38863417</v>
      </c>
      <c r="G228" s="21" t="s">
        <v>62</v>
      </c>
      <c r="H228" s="15">
        <f t="shared" si="43"/>
        <v>0</v>
      </c>
      <c r="I228" s="21" t="s">
        <v>470</v>
      </c>
      <c r="J228" s="21" t="s">
        <v>87</v>
      </c>
      <c r="K228" s="21" t="s">
        <v>1014</v>
      </c>
      <c r="L228" s="112">
        <v>45455</v>
      </c>
      <c r="M228" s="113">
        <v>188221</v>
      </c>
      <c r="N228" s="114">
        <v>44550</v>
      </c>
      <c r="O228" s="115" t="s">
        <v>66</v>
      </c>
      <c r="P228" s="115" t="s">
        <v>767</v>
      </c>
      <c r="Q228" s="115"/>
      <c r="R228" s="116" t="s">
        <v>471</v>
      </c>
      <c r="S228" s="115" t="s">
        <v>69</v>
      </c>
      <c r="T228" s="117">
        <v>45456</v>
      </c>
      <c r="U228" s="117"/>
      <c r="V228" s="118">
        <v>38863417</v>
      </c>
      <c r="W228" s="118"/>
      <c r="X228" s="118" t="s">
        <v>1352</v>
      </c>
      <c r="Y228" s="118">
        <f t="shared" ref="Y228:Y234" si="44">+V228</f>
        <v>38863417</v>
      </c>
      <c r="Z228" s="118" t="s">
        <v>70</v>
      </c>
      <c r="AA228" s="118"/>
      <c r="AB228" s="119" t="s">
        <v>472</v>
      </c>
      <c r="AC228" s="120"/>
      <c r="AD228" s="121">
        <v>900021482</v>
      </c>
      <c r="AE228" s="122" t="s">
        <v>1306</v>
      </c>
      <c r="AF228" s="126"/>
      <c r="AG228" s="114"/>
      <c r="AH228" s="21" t="s">
        <v>326</v>
      </c>
      <c r="AI228" s="21"/>
      <c r="AJ228" s="21"/>
      <c r="AK228" s="118">
        <v>0</v>
      </c>
      <c r="AL228" s="118">
        <v>38863417</v>
      </c>
      <c r="AM228" s="123"/>
      <c r="AN228" s="123"/>
      <c r="AO228" s="123"/>
      <c r="AP228" s="123"/>
      <c r="AQ228" s="123"/>
      <c r="AR228" s="123"/>
      <c r="AS228" s="123"/>
      <c r="AT228" s="123"/>
      <c r="AU228" s="123"/>
      <c r="AV228" s="123"/>
      <c r="AW228" s="124">
        <v>0</v>
      </c>
      <c r="AX228" s="124">
        <f>IF(AK228="","",ROUND(AL228/INT(LEFT(AH228,FIND("m",AH228)-1))*100%,2))</f>
        <v>38863417</v>
      </c>
      <c r="AY228" s="124">
        <v>0</v>
      </c>
      <c r="AZ228" s="124">
        <v>0</v>
      </c>
      <c r="BA228" s="21"/>
      <c r="BB228" s="21"/>
      <c r="BC228" s="21"/>
      <c r="BD228" s="21"/>
      <c r="BE228" s="21"/>
      <c r="BF228" s="21"/>
      <c r="BG228" s="21"/>
      <c r="BH228" s="21"/>
      <c r="BI228" s="21"/>
      <c r="BJ228" s="21"/>
    </row>
    <row r="229" spans="1:62" ht="14" x14ac:dyDescent="0.15">
      <c r="A229" s="17">
        <v>224</v>
      </c>
      <c r="B229" s="16" t="s">
        <v>1015</v>
      </c>
      <c r="C229" s="15">
        <v>183510236.28999999</v>
      </c>
      <c r="D229" s="112">
        <v>45509</v>
      </c>
      <c r="E229" s="21" t="s">
        <v>735</v>
      </c>
      <c r="F229" s="15">
        <v>183510236.28999999</v>
      </c>
      <c r="G229" s="21" t="s">
        <v>62</v>
      </c>
      <c r="H229" s="15">
        <f t="shared" si="43"/>
        <v>0</v>
      </c>
      <c r="I229" s="21" t="s">
        <v>594</v>
      </c>
      <c r="J229" s="15" t="s">
        <v>172</v>
      </c>
      <c r="K229" s="21" t="s">
        <v>1016</v>
      </c>
      <c r="L229" s="112">
        <v>45509</v>
      </c>
      <c r="M229" s="127">
        <v>9822</v>
      </c>
      <c r="N229" s="114">
        <v>44567</v>
      </c>
      <c r="O229" s="115" t="s">
        <v>66</v>
      </c>
      <c r="P229" s="115" t="s">
        <v>767</v>
      </c>
      <c r="Q229" s="115" t="s">
        <v>1017</v>
      </c>
      <c r="R229" s="116" t="s">
        <v>741</v>
      </c>
      <c r="S229" s="115" t="s">
        <v>69</v>
      </c>
      <c r="T229" s="117">
        <v>45510</v>
      </c>
      <c r="U229" s="117"/>
      <c r="V229" s="118">
        <v>183510236.28999999</v>
      </c>
      <c r="W229" s="118"/>
      <c r="X229" s="118" t="s">
        <v>1154</v>
      </c>
      <c r="Y229" s="118">
        <f t="shared" si="44"/>
        <v>183510236.28999999</v>
      </c>
      <c r="Z229" s="118" t="s">
        <v>70</v>
      </c>
      <c r="AA229" s="118"/>
      <c r="AB229" s="119" t="s">
        <v>742</v>
      </c>
      <c r="AC229" s="120">
        <v>45510</v>
      </c>
      <c r="AD229" s="121">
        <v>901723732</v>
      </c>
      <c r="AE229" s="122" t="s">
        <v>1018</v>
      </c>
      <c r="AF229" s="126">
        <v>45875</v>
      </c>
      <c r="AG229" s="114" t="s">
        <v>1019</v>
      </c>
      <c r="AH229" s="21" t="s">
        <v>1020</v>
      </c>
      <c r="AI229" s="21"/>
      <c r="AJ229" s="21"/>
      <c r="AK229" s="118"/>
      <c r="AL229" s="118">
        <f>+Y229</f>
        <v>183510236.28999999</v>
      </c>
      <c r="AM229" s="123"/>
      <c r="AN229" s="123"/>
      <c r="AO229" s="123"/>
      <c r="AP229" s="123"/>
      <c r="AQ229" s="123"/>
      <c r="AR229" s="123"/>
      <c r="AS229" s="123"/>
      <c r="AT229" s="123"/>
      <c r="AU229" s="123"/>
      <c r="AV229" s="123">
        <v>0.1</v>
      </c>
      <c r="AW229" s="124">
        <v>0</v>
      </c>
      <c r="AX229" s="124">
        <f>+AL229/4.5</f>
        <v>40780052.508888885</v>
      </c>
      <c r="AY229" s="124"/>
      <c r="AZ229" s="124"/>
      <c r="BA229" s="21" t="s">
        <v>578</v>
      </c>
      <c r="BB229" s="21"/>
      <c r="BC229" s="21"/>
      <c r="BD229" s="21"/>
      <c r="BE229" s="21"/>
      <c r="BF229" s="21"/>
      <c r="BG229" s="21"/>
      <c r="BH229" s="21"/>
      <c r="BI229" s="21"/>
      <c r="BJ229" s="21"/>
    </row>
    <row r="230" spans="1:62" ht="14" x14ac:dyDescent="0.15">
      <c r="A230" s="17">
        <v>225</v>
      </c>
      <c r="B230" s="16" t="s">
        <v>1021</v>
      </c>
      <c r="C230" s="15">
        <v>166868792</v>
      </c>
      <c r="D230" s="112">
        <v>45512</v>
      </c>
      <c r="E230" s="21" t="s">
        <v>573</v>
      </c>
      <c r="F230" s="15">
        <f t="shared" si="42"/>
        <v>166868792</v>
      </c>
      <c r="G230" s="21" t="s">
        <v>62</v>
      </c>
      <c r="H230" s="15">
        <f t="shared" si="43"/>
        <v>0</v>
      </c>
      <c r="I230" s="21" t="s">
        <v>227</v>
      </c>
      <c r="J230" s="15" t="s">
        <v>172</v>
      </c>
      <c r="K230" s="21" t="s">
        <v>1022</v>
      </c>
      <c r="L230" s="112">
        <v>45467</v>
      </c>
      <c r="M230" s="127">
        <v>9822</v>
      </c>
      <c r="N230" s="114">
        <v>44567</v>
      </c>
      <c r="O230" s="115" t="s">
        <v>66</v>
      </c>
      <c r="P230" s="115" t="s">
        <v>767</v>
      </c>
      <c r="Q230" s="122" t="s">
        <v>663</v>
      </c>
      <c r="R230" s="116" t="s">
        <v>592</v>
      </c>
      <c r="S230" s="115"/>
      <c r="T230" s="117"/>
      <c r="U230" s="117"/>
      <c r="V230" s="118">
        <v>166868792</v>
      </c>
      <c r="W230" s="118"/>
      <c r="X230" s="118" t="s">
        <v>1154</v>
      </c>
      <c r="Y230" s="118">
        <f t="shared" si="44"/>
        <v>166868792</v>
      </c>
      <c r="Z230" s="118" t="s">
        <v>70</v>
      </c>
      <c r="AA230" s="118"/>
      <c r="AB230" s="116" t="s">
        <v>592</v>
      </c>
      <c r="AC230" s="120"/>
      <c r="AD230" s="121">
        <v>800070375</v>
      </c>
      <c r="AE230" s="122" t="s">
        <v>1316</v>
      </c>
      <c r="AF230" s="126"/>
      <c r="AG230" s="114"/>
      <c r="AH230" s="21"/>
      <c r="AI230" s="21"/>
      <c r="AJ230" s="21"/>
      <c r="AK230" s="118"/>
      <c r="AL230" s="118" t="str">
        <f>IF(AK230="","",V230-AK230)</f>
        <v/>
      </c>
      <c r="AM230" s="123"/>
      <c r="AN230" s="123"/>
      <c r="AO230" s="123"/>
      <c r="AP230" s="123"/>
      <c r="AQ230" s="123"/>
      <c r="AR230" s="123"/>
      <c r="AS230" s="123"/>
      <c r="AT230" s="123"/>
      <c r="AU230" s="123"/>
      <c r="AV230" s="123"/>
      <c r="AW230" s="124"/>
      <c r="AX230" s="124"/>
      <c r="AY230" s="124"/>
      <c r="AZ230" s="124"/>
      <c r="BA230" s="21"/>
      <c r="BB230" s="21"/>
      <c r="BC230" s="21"/>
      <c r="BD230" s="21"/>
      <c r="BE230" s="21"/>
      <c r="BF230" s="21"/>
      <c r="BG230" s="21"/>
      <c r="BH230" s="21"/>
      <c r="BI230" s="21"/>
      <c r="BJ230" s="21"/>
    </row>
    <row r="231" spans="1:62" ht="14" x14ac:dyDescent="0.15">
      <c r="A231" s="17">
        <v>226</v>
      </c>
      <c r="B231" s="21" t="s">
        <v>207</v>
      </c>
      <c r="C231" s="15">
        <v>17434999</v>
      </c>
      <c r="D231" s="112">
        <v>45517</v>
      </c>
      <c r="E231" s="21" t="s">
        <v>61</v>
      </c>
      <c r="F231" s="15">
        <f>C231</f>
        <v>17434999</v>
      </c>
      <c r="G231" s="21" t="s">
        <v>62</v>
      </c>
      <c r="H231" s="15">
        <f>C231-F231</f>
        <v>0</v>
      </c>
      <c r="I231" s="21" t="s">
        <v>208</v>
      </c>
      <c r="J231" s="21" t="s">
        <v>141</v>
      </c>
      <c r="K231" s="21" t="s">
        <v>1023</v>
      </c>
      <c r="L231" s="112">
        <v>45517</v>
      </c>
      <c r="M231" s="127">
        <v>176921</v>
      </c>
      <c r="N231" s="114">
        <v>44477</v>
      </c>
      <c r="O231" s="115" t="s">
        <v>66</v>
      </c>
      <c r="P231" s="115" t="s">
        <v>767</v>
      </c>
      <c r="Q231" s="115"/>
      <c r="R231" s="116" t="s">
        <v>535</v>
      </c>
      <c r="S231" s="115" t="s">
        <v>536</v>
      </c>
      <c r="T231" s="117">
        <v>45517</v>
      </c>
      <c r="U231" s="117"/>
      <c r="V231" s="118">
        <v>17434999</v>
      </c>
      <c r="W231" s="118"/>
      <c r="X231" s="118" t="s">
        <v>1154</v>
      </c>
      <c r="Y231" s="118">
        <f t="shared" si="44"/>
        <v>17434999</v>
      </c>
      <c r="Z231" s="118" t="s">
        <v>70</v>
      </c>
      <c r="AA231" s="118"/>
      <c r="AB231" s="119" t="s">
        <v>537</v>
      </c>
      <c r="AC231" s="120"/>
      <c r="AD231" s="121">
        <v>87069865</v>
      </c>
      <c r="AE231" s="122" t="s">
        <v>1268</v>
      </c>
      <c r="AF231" s="126"/>
      <c r="AG231" s="114"/>
      <c r="AH231" s="21"/>
      <c r="AI231" s="21"/>
      <c r="AJ231" s="21"/>
      <c r="AK231" s="118"/>
      <c r="AL231" s="118">
        <f>+Y231</f>
        <v>17434999</v>
      </c>
      <c r="AM231" s="123"/>
      <c r="AN231" s="123"/>
      <c r="AO231" s="123"/>
      <c r="AP231" s="123"/>
      <c r="AQ231" s="123"/>
      <c r="AR231" s="123"/>
      <c r="AS231" s="123"/>
      <c r="AT231" s="123"/>
      <c r="AU231" s="123"/>
      <c r="AV231" s="123"/>
      <c r="AW231" s="124"/>
      <c r="AX231" s="124"/>
      <c r="AY231" s="124"/>
      <c r="AZ231" s="124"/>
      <c r="BA231" s="21" t="s">
        <v>74</v>
      </c>
      <c r="BB231" s="21"/>
      <c r="BC231" s="21"/>
      <c r="BD231" s="21"/>
      <c r="BE231" s="21"/>
      <c r="BF231" s="21"/>
      <c r="BG231" s="21"/>
      <c r="BH231" s="21"/>
      <c r="BI231" s="21"/>
      <c r="BJ231" s="21"/>
    </row>
    <row r="232" spans="1:62" ht="14" x14ac:dyDescent="0.15">
      <c r="A232" s="17">
        <v>227</v>
      </c>
      <c r="B232" s="16" t="s">
        <v>1024</v>
      </c>
      <c r="C232" s="15">
        <v>119334877</v>
      </c>
      <c r="D232" s="112">
        <v>45530</v>
      </c>
      <c r="E232" s="21" t="s">
        <v>61</v>
      </c>
      <c r="F232" s="15">
        <f>C232</f>
        <v>119334877</v>
      </c>
      <c r="G232" s="21" t="s">
        <v>62</v>
      </c>
      <c r="H232" s="15">
        <f>C232-F232</f>
        <v>0</v>
      </c>
      <c r="I232" s="21" t="s">
        <v>259</v>
      </c>
      <c r="J232" s="152" t="s">
        <v>64</v>
      </c>
      <c r="K232" s="21" t="s">
        <v>1023</v>
      </c>
      <c r="L232" s="112">
        <v>45530</v>
      </c>
      <c r="M232" s="135">
        <v>188421</v>
      </c>
      <c r="N232" s="114">
        <v>44550</v>
      </c>
      <c r="O232" s="115" t="s">
        <v>66</v>
      </c>
      <c r="P232" s="115" t="s">
        <v>767</v>
      </c>
      <c r="Q232" s="115" t="s">
        <v>112</v>
      </c>
      <c r="R232" s="116" t="s">
        <v>260</v>
      </c>
      <c r="S232" s="115" t="s">
        <v>69</v>
      </c>
      <c r="T232" s="117"/>
      <c r="U232" s="117"/>
      <c r="V232" s="118">
        <v>119334877</v>
      </c>
      <c r="W232" s="118"/>
      <c r="X232" s="118" t="s">
        <v>1352</v>
      </c>
      <c r="Y232" s="118">
        <f t="shared" si="44"/>
        <v>119334877</v>
      </c>
      <c r="Z232" s="118" t="s">
        <v>70</v>
      </c>
      <c r="AA232" s="118"/>
      <c r="AB232" s="119" t="s">
        <v>261</v>
      </c>
      <c r="AC232" s="120"/>
      <c r="AD232" s="121">
        <v>901581149</v>
      </c>
      <c r="AE232" s="122" t="s">
        <v>1280</v>
      </c>
      <c r="AF232" s="126"/>
      <c r="AG232" s="114"/>
      <c r="AH232" s="21" t="s">
        <v>768</v>
      </c>
      <c r="AI232" s="21" t="s">
        <v>768</v>
      </c>
      <c r="AJ232" s="21"/>
      <c r="AK232" s="118">
        <v>0</v>
      </c>
      <c r="AL232" s="118">
        <f>+V232</f>
        <v>119334877</v>
      </c>
      <c r="AM232" s="123"/>
      <c r="AN232" s="123"/>
      <c r="AO232" s="123"/>
      <c r="AP232" s="123"/>
      <c r="AQ232" s="123"/>
      <c r="AR232" s="123"/>
      <c r="AS232" s="123"/>
      <c r="AT232" s="123"/>
      <c r="AU232" s="123"/>
      <c r="AV232" s="123"/>
      <c r="AW232" s="124">
        <v>0</v>
      </c>
      <c r="AX232" s="124">
        <f>IF(AK232="","",ROUND(AL232/INT(LEFT(AH232,FIND("m",AH232)-1))*50%,0))</f>
        <v>14916860</v>
      </c>
      <c r="AY232" s="124">
        <f>IF(AK232="","",ROUND(AL232*40%,2))</f>
        <v>47733950.799999997</v>
      </c>
      <c r="AZ232" s="124">
        <f>IF(AK232="","",ROUND(AL232*10%,2))</f>
        <v>11933487.699999999</v>
      </c>
      <c r="BA232" s="21"/>
      <c r="BB232" s="21"/>
      <c r="BC232" s="21"/>
      <c r="BD232" s="21"/>
      <c r="BE232" s="21"/>
      <c r="BF232" s="21"/>
      <c r="BG232" s="21"/>
      <c r="BH232" s="21"/>
      <c r="BI232" s="21"/>
      <c r="BJ232" s="21"/>
    </row>
    <row r="233" spans="1:62" ht="14" x14ac:dyDescent="0.15">
      <c r="A233" s="17">
        <v>228</v>
      </c>
      <c r="B233" s="16" t="s">
        <v>981</v>
      </c>
      <c r="C233" s="15">
        <v>69916262.420000002</v>
      </c>
      <c r="D233" s="112">
        <v>45530</v>
      </c>
      <c r="E233" s="21" t="s">
        <v>723</v>
      </c>
      <c r="F233" s="15">
        <v>69916262.420000002</v>
      </c>
      <c r="G233" s="21" t="s">
        <v>62</v>
      </c>
      <c r="H233" s="15">
        <f>C233-F233</f>
        <v>0</v>
      </c>
      <c r="I233" s="21" t="s">
        <v>512</v>
      </c>
      <c r="J233" s="152" t="s">
        <v>136</v>
      </c>
      <c r="K233" s="21" t="s">
        <v>1025</v>
      </c>
      <c r="L233" s="112"/>
      <c r="M233" s="127">
        <v>354</v>
      </c>
      <c r="N233" s="114">
        <v>45509</v>
      </c>
      <c r="O233" s="122" t="s">
        <v>830</v>
      </c>
      <c r="P233" s="115" t="s">
        <v>512</v>
      </c>
      <c r="Q233" s="115"/>
      <c r="R233" s="116" t="s">
        <v>514</v>
      </c>
      <c r="S233" s="115"/>
      <c r="T233" s="117"/>
      <c r="U233" s="117" t="s">
        <v>124</v>
      </c>
      <c r="V233" s="138">
        <v>69916262</v>
      </c>
      <c r="W233" s="15"/>
      <c r="X233" s="118" t="s">
        <v>1117</v>
      </c>
      <c r="Y233" s="15">
        <v>69916262</v>
      </c>
      <c r="Z233" s="118" t="s">
        <v>70</v>
      </c>
      <c r="AA233" s="118"/>
      <c r="AB233" s="119" t="s">
        <v>515</v>
      </c>
      <c r="AC233" s="120"/>
      <c r="AD233" s="121">
        <v>901593801</v>
      </c>
      <c r="AE233" s="122" t="s">
        <v>1311</v>
      </c>
      <c r="AF233" s="126">
        <v>45532</v>
      </c>
      <c r="AG233" s="114">
        <v>45627</v>
      </c>
      <c r="AH233" s="21" t="s">
        <v>748</v>
      </c>
      <c r="AI233" s="21"/>
      <c r="AJ233" s="21"/>
      <c r="AK233" s="118"/>
      <c r="AL233" s="15">
        <v>69916262</v>
      </c>
      <c r="AM233" s="123"/>
      <c r="AN233" s="123"/>
      <c r="AO233" s="123"/>
      <c r="AP233" s="123"/>
      <c r="AQ233" s="123"/>
      <c r="AR233" s="123"/>
      <c r="AS233" s="123"/>
      <c r="AT233" s="123"/>
      <c r="AU233" s="123"/>
      <c r="AV233" s="123"/>
      <c r="AW233" s="124"/>
      <c r="AX233" s="145">
        <f>+AL233*0.9</f>
        <v>62924635.800000004</v>
      </c>
      <c r="AY233" s="124"/>
      <c r="AZ233" s="124">
        <f>+AL233*0.1</f>
        <v>6991626.2000000002</v>
      </c>
      <c r="BA233" s="21" t="s">
        <v>985</v>
      </c>
      <c r="BB233" s="21"/>
      <c r="BC233" s="21"/>
      <c r="BD233" s="21"/>
      <c r="BE233" s="21"/>
      <c r="BF233" s="21"/>
      <c r="BG233" s="21"/>
      <c r="BH233" s="21"/>
      <c r="BI233" s="21"/>
      <c r="BJ233" s="21"/>
    </row>
    <row r="234" spans="1:62" ht="14" x14ac:dyDescent="0.15">
      <c r="A234" s="17">
        <v>229</v>
      </c>
      <c r="B234" s="16" t="s">
        <v>1026</v>
      </c>
      <c r="C234" s="15">
        <v>65609018.350000001</v>
      </c>
      <c r="D234" s="112">
        <v>45530</v>
      </c>
      <c r="E234" s="21" t="s">
        <v>61</v>
      </c>
      <c r="F234" s="15">
        <f>C234</f>
        <v>65609018.350000001</v>
      </c>
      <c r="G234" s="21" t="s">
        <v>62</v>
      </c>
      <c r="H234" s="15">
        <f>C234-F234</f>
        <v>0</v>
      </c>
      <c r="I234" s="21" t="s">
        <v>344</v>
      </c>
      <c r="J234" s="21" t="s">
        <v>345</v>
      </c>
      <c r="K234" s="21" t="s">
        <v>1027</v>
      </c>
      <c r="L234" s="112">
        <v>45530</v>
      </c>
      <c r="M234" s="127">
        <v>176921</v>
      </c>
      <c r="N234" s="114">
        <v>44477</v>
      </c>
      <c r="O234" s="115" t="s">
        <v>66</v>
      </c>
      <c r="P234" s="115" t="s">
        <v>767</v>
      </c>
      <c r="Q234" s="115"/>
      <c r="R234" s="116" t="s">
        <v>545</v>
      </c>
      <c r="S234" s="115" t="s">
        <v>69</v>
      </c>
      <c r="T234" s="117"/>
      <c r="U234" s="117"/>
      <c r="V234" s="15">
        <v>65609018.350000001</v>
      </c>
      <c r="W234" s="118"/>
      <c r="X234" s="118" t="s">
        <v>1154</v>
      </c>
      <c r="Y234" s="118">
        <f t="shared" si="44"/>
        <v>65609018.350000001</v>
      </c>
      <c r="Z234" s="118" t="s">
        <v>70</v>
      </c>
      <c r="AA234" s="118"/>
      <c r="AB234" s="119" t="s">
        <v>546</v>
      </c>
      <c r="AC234" s="120"/>
      <c r="AD234" s="121">
        <v>900779202</v>
      </c>
      <c r="AE234" s="122" t="s">
        <v>1303</v>
      </c>
      <c r="AF234" s="126"/>
      <c r="AG234" s="114"/>
      <c r="AH234" s="21" t="s">
        <v>326</v>
      </c>
      <c r="AI234" s="21"/>
      <c r="AJ234" s="21"/>
      <c r="AK234" s="118">
        <v>0</v>
      </c>
      <c r="AL234" s="118">
        <f>+V234</f>
        <v>65609018.350000001</v>
      </c>
      <c r="AM234" s="123"/>
      <c r="AN234" s="123"/>
      <c r="AO234" s="123"/>
      <c r="AP234" s="123"/>
      <c r="AQ234" s="123"/>
      <c r="AR234" s="123"/>
      <c r="AS234" s="123"/>
      <c r="AT234" s="123"/>
      <c r="AU234" s="123"/>
      <c r="AV234" s="123"/>
      <c r="AW234" s="124"/>
      <c r="AX234" s="124">
        <f>IF(AK234="","",ROUND(AL234/INT(LEFT(AH234,FIND("m",AH234)-1))*100%,2))</f>
        <v>65609018.350000001</v>
      </c>
      <c r="AY234" s="124">
        <v>0</v>
      </c>
      <c r="AZ234" s="124">
        <v>0</v>
      </c>
      <c r="BA234" s="21"/>
      <c r="BB234" s="21"/>
      <c r="BC234" s="21"/>
      <c r="BD234" s="21"/>
      <c r="BE234" s="21"/>
      <c r="BF234" s="21"/>
      <c r="BG234" s="21"/>
      <c r="BH234" s="21"/>
      <c r="BI234" s="21"/>
      <c r="BJ234" s="21"/>
    </row>
    <row r="235" spans="1:62" ht="14" x14ac:dyDescent="0.15">
      <c r="A235" s="17">
        <v>230</v>
      </c>
      <c r="B235" s="16" t="s">
        <v>1028</v>
      </c>
      <c r="C235" s="15">
        <v>40000000</v>
      </c>
      <c r="D235" s="112">
        <v>45530</v>
      </c>
      <c r="E235" s="21" t="s">
        <v>723</v>
      </c>
      <c r="F235" s="15">
        <v>40000000</v>
      </c>
      <c r="G235" s="21" t="s">
        <v>62</v>
      </c>
      <c r="H235" s="15">
        <f>C235-F235</f>
        <v>0</v>
      </c>
      <c r="I235" s="21" t="s">
        <v>110</v>
      </c>
      <c r="J235" s="21" t="s">
        <v>898</v>
      </c>
      <c r="K235" s="21" t="s">
        <v>1029</v>
      </c>
      <c r="L235" s="112">
        <v>45530</v>
      </c>
      <c r="M235" s="127">
        <v>17050013</v>
      </c>
      <c r="N235" s="114">
        <v>45429</v>
      </c>
      <c r="O235" s="122" t="s">
        <v>830</v>
      </c>
      <c r="P235" s="115" t="s">
        <v>110</v>
      </c>
      <c r="Q235" s="115"/>
      <c r="R235" s="116" t="s">
        <v>236</v>
      </c>
      <c r="S235" s="115" t="s">
        <v>69</v>
      </c>
      <c r="T235" s="21"/>
      <c r="U235" s="117" t="s">
        <v>124</v>
      </c>
      <c r="V235" s="137">
        <v>40000000</v>
      </c>
      <c r="W235" s="118"/>
      <c r="X235" s="118" t="s">
        <v>1117</v>
      </c>
      <c r="Y235" s="118">
        <v>40000000</v>
      </c>
      <c r="Z235" s="118" t="s">
        <v>70</v>
      </c>
      <c r="AA235" s="118"/>
      <c r="AB235" s="119" t="s">
        <v>237</v>
      </c>
      <c r="AC235" s="112">
        <v>45530</v>
      </c>
      <c r="AD235" s="121">
        <v>901579530</v>
      </c>
      <c r="AE235" s="122" t="s">
        <v>1269</v>
      </c>
      <c r="AF235" s="126"/>
      <c r="AG235" s="114"/>
      <c r="AH235" s="21"/>
      <c r="AI235" s="21"/>
      <c r="AJ235" s="21"/>
      <c r="AK235" s="118"/>
      <c r="AL235" s="118">
        <v>40000000</v>
      </c>
      <c r="AM235" s="123"/>
      <c r="AN235" s="123"/>
      <c r="AO235" s="123"/>
      <c r="AP235" s="123"/>
      <c r="AQ235" s="123"/>
      <c r="AR235" s="123"/>
      <c r="AS235" s="123"/>
      <c r="AT235" s="123"/>
      <c r="AU235" s="123"/>
      <c r="AV235" s="123">
        <v>0.1</v>
      </c>
      <c r="AW235" s="124"/>
      <c r="AX235" s="124">
        <v>36000000</v>
      </c>
      <c r="AY235" s="124"/>
      <c r="AZ235" s="124">
        <v>4000000</v>
      </c>
      <c r="BA235" s="21" t="s">
        <v>117</v>
      </c>
      <c r="BB235" s="21"/>
      <c r="BC235" s="21"/>
      <c r="BD235" s="21"/>
      <c r="BE235" s="21"/>
      <c r="BF235" s="21"/>
      <c r="BG235" s="21"/>
      <c r="BH235" s="21"/>
      <c r="BI235" s="21"/>
      <c r="BJ235" s="21"/>
    </row>
    <row r="236" spans="1:62" ht="14" x14ac:dyDescent="0.15">
      <c r="A236" s="17">
        <v>231</v>
      </c>
      <c r="B236" s="16" t="s">
        <v>1030</v>
      </c>
      <c r="C236" s="15">
        <v>0</v>
      </c>
      <c r="D236" s="112">
        <v>45544</v>
      </c>
      <c r="E236" s="21" t="s">
        <v>61</v>
      </c>
      <c r="F236" s="15">
        <v>0</v>
      </c>
      <c r="G236" s="21" t="s">
        <v>62</v>
      </c>
      <c r="H236" s="15">
        <v>0</v>
      </c>
      <c r="I236" s="21" t="s">
        <v>94</v>
      </c>
      <c r="J236" s="21" t="s">
        <v>64</v>
      </c>
      <c r="K236" s="21" t="s">
        <v>1031</v>
      </c>
      <c r="L236" s="112">
        <v>45565</v>
      </c>
      <c r="M236" s="127"/>
      <c r="N236" s="114">
        <v>0</v>
      </c>
      <c r="O236" s="115" t="s">
        <v>66</v>
      </c>
      <c r="P236" s="115">
        <v>0</v>
      </c>
      <c r="Q236" s="115"/>
      <c r="R236" s="116" t="s">
        <v>125</v>
      </c>
      <c r="S236" s="115" t="s">
        <v>69</v>
      </c>
      <c r="T236" s="117" t="s">
        <v>429</v>
      </c>
      <c r="U236" s="117" t="s">
        <v>124</v>
      </c>
      <c r="V236" s="118">
        <v>0</v>
      </c>
      <c r="W236" s="118">
        <v>0</v>
      </c>
      <c r="X236" s="118" t="s">
        <v>125</v>
      </c>
      <c r="Y236" s="118"/>
      <c r="Z236" s="118" t="s">
        <v>143</v>
      </c>
      <c r="AA236" s="118"/>
      <c r="AB236" s="119" t="s">
        <v>125</v>
      </c>
      <c r="AC236" s="120"/>
      <c r="AD236" s="121">
        <v>901575163</v>
      </c>
      <c r="AE236" s="122" t="s">
        <v>1263</v>
      </c>
      <c r="AF236" s="126"/>
      <c r="AG236" s="114"/>
      <c r="AH236" s="21"/>
      <c r="AI236" s="21"/>
      <c r="AJ236" s="21"/>
      <c r="AK236" s="118"/>
      <c r="AL236" s="118" t="str">
        <f>IF(AK236="","",V236-AK236)</f>
        <v/>
      </c>
      <c r="AM236" s="123"/>
      <c r="AN236" s="123"/>
      <c r="AO236" s="123"/>
      <c r="AP236" s="123"/>
      <c r="AQ236" s="123"/>
      <c r="AR236" s="123"/>
      <c r="AS236" s="123"/>
      <c r="AT236" s="123"/>
      <c r="AU236" s="123"/>
      <c r="AV236" s="123"/>
      <c r="AW236" s="124"/>
      <c r="AX236" s="124"/>
      <c r="AY236" s="124" t="str">
        <f>IF(AK236="","",ROUND(AL236*40%,2))</f>
        <v/>
      </c>
      <c r="AZ236" s="124"/>
      <c r="BA236" s="21" t="s">
        <v>99</v>
      </c>
      <c r="BB236" s="21"/>
      <c r="BC236" s="21"/>
      <c r="BD236" s="21"/>
      <c r="BE236" s="21"/>
      <c r="BF236" s="21"/>
      <c r="BG236" s="21"/>
      <c r="BH236" s="21"/>
      <c r="BI236" s="21"/>
      <c r="BJ236" s="21"/>
    </row>
    <row r="237" spans="1:62" ht="14" x14ac:dyDescent="0.15">
      <c r="A237" s="17">
        <v>232</v>
      </c>
      <c r="B237" s="16" t="s">
        <v>1032</v>
      </c>
      <c r="C237" s="15">
        <v>81073850</v>
      </c>
      <c r="D237" s="112">
        <v>45548</v>
      </c>
      <c r="E237" s="21" t="s">
        <v>573</v>
      </c>
      <c r="F237" s="15">
        <v>81073850</v>
      </c>
      <c r="G237" s="21" t="s">
        <v>62</v>
      </c>
      <c r="H237" s="15">
        <f t="shared" ref="H237:H246" si="45">C237-F237</f>
        <v>0</v>
      </c>
      <c r="I237" s="21" t="s">
        <v>661</v>
      </c>
      <c r="J237" s="21" t="s">
        <v>141</v>
      </c>
      <c r="K237" s="21"/>
      <c r="L237" s="112">
        <v>45503</v>
      </c>
      <c r="M237" s="127">
        <v>176921</v>
      </c>
      <c r="N237" s="114">
        <v>44477</v>
      </c>
      <c r="O237" s="115" t="s">
        <v>66</v>
      </c>
      <c r="P237" s="115" t="s">
        <v>767</v>
      </c>
      <c r="Q237" s="122" t="s">
        <v>663</v>
      </c>
      <c r="R237" s="116" t="s">
        <v>664</v>
      </c>
      <c r="S237" s="115" t="s">
        <v>69</v>
      </c>
      <c r="T237" s="117"/>
      <c r="U237" s="117"/>
      <c r="V237" s="118">
        <v>81073850</v>
      </c>
      <c r="W237" s="118"/>
      <c r="X237" s="118" t="s">
        <v>1154</v>
      </c>
      <c r="Y237" s="118">
        <f>+V237</f>
        <v>81073850</v>
      </c>
      <c r="Z237" s="118" t="s">
        <v>79</v>
      </c>
      <c r="AA237" s="118">
        <v>0</v>
      </c>
      <c r="AB237" s="116" t="s">
        <v>664</v>
      </c>
      <c r="AC237" s="120"/>
      <c r="AD237" s="121">
        <v>800099132</v>
      </c>
      <c r="AE237" s="122" t="s">
        <v>1330</v>
      </c>
      <c r="AF237" s="126"/>
      <c r="AG237" s="114"/>
      <c r="AH237" s="21"/>
      <c r="AI237" s="21"/>
      <c r="AJ237" s="21"/>
      <c r="AK237" s="118"/>
      <c r="AL237" s="118" t="str">
        <f>IF(AK237="","",V237-AK237)</f>
        <v/>
      </c>
      <c r="AM237" s="123"/>
      <c r="AN237" s="123"/>
      <c r="AO237" s="123"/>
      <c r="AP237" s="123"/>
      <c r="AQ237" s="123"/>
      <c r="AR237" s="123"/>
      <c r="AS237" s="123"/>
      <c r="AT237" s="123"/>
      <c r="AU237" s="123"/>
      <c r="AV237" s="123"/>
      <c r="AW237" s="124"/>
      <c r="AX237" s="124"/>
      <c r="AY237" s="124"/>
      <c r="AZ237" s="124"/>
      <c r="BA237" s="21"/>
      <c r="BB237" s="21"/>
      <c r="BC237" s="21"/>
      <c r="BD237" s="21"/>
      <c r="BE237" s="21"/>
      <c r="BF237" s="21"/>
      <c r="BG237" s="21"/>
      <c r="BH237" s="21"/>
      <c r="BI237" s="21"/>
      <c r="BJ237" s="21"/>
    </row>
    <row r="238" spans="1:62" ht="14" x14ac:dyDescent="0.15">
      <c r="A238" s="17">
        <v>233</v>
      </c>
      <c r="B238" s="16" t="s">
        <v>1033</v>
      </c>
      <c r="C238" s="15">
        <v>724557323</v>
      </c>
      <c r="D238" s="112">
        <v>45552</v>
      </c>
      <c r="E238" s="21" t="s">
        <v>573</v>
      </c>
      <c r="F238" s="15">
        <v>724557323</v>
      </c>
      <c r="G238" s="21" t="s">
        <v>62</v>
      </c>
      <c r="H238" s="15">
        <f t="shared" si="45"/>
        <v>0</v>
      </c>
      <c r="I238" s="21" t="s">
        <v>594</v>
      </c>
      <c r="J238" s="15" t="s">
        <v>172</v>
      </c>
      <c r="K238" s="21" t="s">
        <v>1034</v>
      </c>
      <c r="L238" s="112">
        <v>45482</v>
      </c>
      <c r="M238" s="127">
        <v>9622</v>
      </c>
      <c r="N238" s="114">
        <v>44567</v>
      </c>
      <c r="O238" s="115" t="s">
        <v>66</v>
      </c>
      <c r="P238" s="115" t="s">
        <v>767</v>
      </c>
      <c r="Q238" s="122" t="s">
        <v>663</v>
      </c>
      <c r="R238" s="116" t="s">
        <v>595</v>
      </c>
      <c r="S238" s="115" t="s">
        <v>576</v>
      </c>
      <c r="T238" s="117">
        <v>45482</v>
      </c>
      <c r="U238" s="117"/>
      <c r="V238" s="118">
        <v>724557323</v>
      </c>
      <c r="W238" s="118"/>
      <c r="X238" s="118" t="s">
        <v>1154</v>
      </c>
      <c r="Y238" s="118">
        <f>+V238</f>
        <v>724557323</v>
      </c>
      <c r="Z238" s="118" t="s">
        <v>79</v>
      </c>
      <c r="AA238" s="118"/>
      <c r="AB238" s="116" t="s">
        <v>595</v>
      </c>
      <c r="AC238" s="120"/>
      <c r="AD238" s="121">
        <v>818001202</v>
      </c>
      <c r="AE238" s="122" t="s">
        <v>1317</v>
      </c>
      <c r="AF238" s="126"/>
      <c r="AG238" s="114"/>
      <c r="AH238" s="21"/>
      <c r="AI238" s="21"/>
      <c r="AJ238" s="21"/>
      <c r="AK238" s="118"/>
      <c r="AL238" s="118">
        <f>+Y238</f>
        <v>724557323</v>
      </c>
      <c r="AM238" s="123"/>
      <c r="AN238" s="123"/>
      <c r="AO238" s="123"/>
      <c r="AP238" s="123"/>
      <c r="AQ238" s="123"/>
      <c r="AR238" s="123"/>
      <c r="AS238" s="123"/>
      <c r="AT238" s="123"/>
      <c r="AU238" s="123"/>
      <c r="AV238" s="123"/>
      <c r="AW238" s="124"/>
      <c r="AX238" s="124"/>
      <c r="AY238" s="124"/>
      <c r="AZ238" s="124"/>
      <c r="BA238" s="21"/>
      <c r="BB238" s="21"/>
      <c r="BC238" s="21"/>
      <c r="BD238" s="21"/>
      <c r="BE238" s="21"/>
      <c r="BF238" s="21"/>
      <c r="BG238" s="21"/>
      <c r="BH238" s="21"/>
      <c r="BI238" s="21"/>
      <c r="BJ238" s="21"/>
    </row>
    <row r="239" spans="1:62" ht="14" x14ac:dyDescent="0.15">
      <c r="A239" s="17">
        <v>234</v>
      </c>
      <c r="B239" s="16" t="s">
        <v>1035</v>
      </c>
      <c r="C239" s="15">
        <v>305250515.43000001</v>
      </c>
      <c r="D239" s="112">
        <v>45552</v>
      </c>
      <c r="E239" s="21" t="s">
        <v>573</v>
      </c>
      <c r="F239" s="15">
        <f>C239</f>
        <v>305250515.43000001</v>
      </c>
      <c r="G239" s="21" t="s">
        <v>62</v>
      </c>
      <c r="H239" s="15">
        <f t="shared" si="45"/>
        <v>0</v>
      </c>
      <c r="I239" s="21" t="s">
        <v>580</v>
      </c>
      <c r="J239" s="21" t="s">
        <v>172</v>
      </c>
      <c r="K239" s="21" t="s">
        <v>1036</v>
      </c>
      <c r="L239" s="112">
        <v>45387</v>
      </c>
      <c r="M239" s="127">
        <v>188021</v>
      </c>
      <c r="N239" s="114">
        <v>44550</v>
      </c>
      <c r="O239" s="115" t="s">
        <v>66</v>
      </c>
      <c r="P239" s="115" t="s">
        <v>767</v>
      </c>
      <c r="Q239" s="122" t="s">
        <v>663</v>
      </c>
      <c r="R239" s="116" t="s">
        <v>581</v>
      </c>
      <c r="S239" s="115" t="s">
        <v>576</v>
      </c>
      <c r="T239" s="117"/>
      <c r="U239" s="117"/>
      <c r="V239" s="15">
        <v>305250515.43000001</v>
      </c>
      <c r="W239" s="145"/>
      <c r="X239" s="118" t="s">
        <v>1154</v>
      </c>
      <c r="Y239" s="118">
        <f>+V239</f>
        <v>305250515.43000001</v>
      </c>
      <c r="Z239" s="118" t="s">
        <v>79</v>
      </c>
      <c r="AA239" s="118">
        <v>0</v>
      </c>
      <c r="AB239" s="116" t="s">
        <v>581</v>
      </c>
      <c r="AC239" s="120"/>
      <c r="AD239" s="121">
        <v>818000395</v>
      </c>
      <c r="AE239" s="122" t="s">
        <v>1314</v>
      </c>
      <c r="AF239" s="126"/>
      <c r="AG239" s="114"/>
      <c r="AH239" s="21"/>
      <c r="AI239" s="21"/>
      <c r="AJ239" s="21"/>
      <c r="AK239" s="118"/>
      <c r="AL239" s="118">
        <f>+V239</f>
        <v>305250515.43000001</v>
      </c>
      <c r="AM239" s="123"/>
      <c r="AN239" s="123"/>
      <c r="AO239" s="123"/>
      <c r="AP239" s="123"/>
      <c r="AQ239" s="123"/>
      <c r="AR239" s="123"/>
      <c r="AS239" s="123"/>
      <c r="AT239" s="123"/>
      <c r="AU239" s="123"/>
      <c r="AV239" s="123"/>
      <c r="AW239" s="124"/>
      <c r="AX239" s="124">
        <f>+AL239</f>
        <v>305250515.43000001</v>
      </c>
      <c r="AY239" s="124"/>
      <c r="AZ239" s="124"/>
      <c r="BA239" s="21"/>
      <c r="BB239" s="21"/>
      <c r="BC239" s="21"/>
      <c r="BD239" s="21"/>
      <c r="BE239" s="21"/>
      <c r="BF239" s="21"/>
      <c r="BG239" s="21"/>
      <c r="BH239" s="21"/>
      <c r="BI239" s="21"/>
      <c r="BJ239" s="21"/>
    </row>
    <row r="240" spans="1:62" ht="14" x14ac:dyDescent="0.15">
      <c r="A240" s="17">
        <v>235</v>
      </c>
      <c r="B240" s="16" t="s">
        <v>1037</v>
      </c>
      <c r="C240" s="15">
        <v>59600500</v>
      </c>
      <c r="D240" s="112">
        <v>45565</v>
      </c>
      <c r="E240" s="21" t="s">
        <v>61</v>
      </c>
      <c r="F240" s="15">
        <f>C240</f>
        <v>59600500</v>
      </c>
      <c r="G240" s="21" t="s">
        <v>62</v>
      </c>
      <c r="H240" s="15">
        <f t="shared" si="45"/>
        <v>0</v>
      </c>
      <c r="I240" s="21" t="s">
        <v>94</v>
      </c>
      <c r="J240" s="21" t="s">
        <v>64</v>
      </c>
      <c r="K240" s="21" t="s">
        <v>1031</v>
      </c>
      <c r="L240" s="112">
        <v>45565</v>
      </c>
      <c r="M240" s="135">
        <v>188421</v>
      </c>
      <c r="N240" s="114">
        <v>44550</v>
      </c>
      <c r="O240" s="115" t="s">
        <v>66</v>
      </c>
      <c r="P240" s="115" t="s">
        <v>767</v>
      </c>
      <c r="Q240" s="115" t="s">
        <v>947</v>
      </c>
      <c r="R240" s="116" t="s">
        <v>95</v>
      </c>
      <c r="S240" s="115" t="s">
        <v>69</v>
      </c>
      <c r="T240" s="117"/>
      <c r="U240" s="117"/>
      <c r="V240" s="15">
        <v>59600500</v>
      </c>
      <c r="W240" s="15"/>
      <c r="X240" s="125" t="s">
        <v>1352</v>
      </c>
      <c r="Y240" s="118">
        <f>+V240</f>
        <v>59600500</v>
      </c>
      <c r="Z240" s="118" t="s">
        <v>70</v>
      </c>
      <c r="AA240" s="118"/>
      <c r="AB240" s="116" t="s">
        <v>96</v>
      </c>
      <c r="AC240" s="120"/>
      <c r="AD240" s="121">
        <v>901575163</v>
      </c>
      <c r="AE240" s="122" t="s">
        <v>1263</v>
      </c>
      <c r="AF240" s="126"/>
      <c r="AG240" s="114"/>
      <c r="AH240" s="21" t="s">
        <v>1038</v>
      </c>
      <c r="AI240" s="21"/>
      <c r="AJ240" s="21"/>
      <c r="AK240" s="118">
        <v>0</v>
      </c>
      <c r="AL240" s="118">
        <f>+Y240</f>
        <v>59600500</v>
      </c>
      <c r="AM240" s="123"/>
      <c r="AN240" s="123"/>
      <c r="AO240" s="123"/>
      <c r="AP240" s="123"/>
      <c r="AQ240" s="123"/>
      <c r="AR240" s="123"/>
      <c r="AS240" s="123"/>
      <c r="AT240" s="123"/>
      <c r="AU240" s="123"/>
      <c r="AV240" s="123">
        <v>0.1</v>
      </c>
      <c r="AW240" s="124">
        <f>IF(AK240="","",AK240)</f>
        <v>0</v>
      </c>
      <c r="AX240" s="124">
        <f>IF(AK240="","",ROUND(AL240/INT(LEFT(AH240,FIND("m",AH240)-1))*50%,2))</f>
        <v>29800250</v>
      </c>
      <c r="AY240" s="124">
        <f>IF(AK240="","",ROUND(AL240*40%,2))</f>
        <v>23840200</v>
      </c>
      <c r="AZ240" s="124">
        <f>IF(AK240="","",ROUND(AL240*10%,2))</f>
        <v>5960050</v>
      </c>
      <c r="BA240" s="21" t="s">
        <v>99</v>
      </c>
      <c r="BB240" s="21"/>
      <c r="BC240" s="21"/>
      <c r="BD240" s="21"/>
      <c r="BE240" s="21"/>
      <c r="BF240" s="21"/>
      <c r="BG240" s="21"/>
      <c r="BH240" s="21"/>
      <c r="BI240" s="21"/>
      <c r="BJ240" s="21"/>
    </row>
    <row r="241" spans="1:62" ht="14" x14ac:dyDescent="0.15">
      <c r="A241" s="17">
        <v>236</v>
      </c>
      <c r="B241" s="16" t="s">
        <v>1039</v>
      </c>
      <c r="C241" s="15">
        <v>30410236</v>
      </c>
      <c r="D241" s="112">
        <v>45569</v>
      </c>
      <c r="E241" s="21" t="s">
        <v>480</v>
      </c>
      <c r="F241" s="15">
        <v>30410236</v>
      </c>
      <c r="G241" s="21" t="s">
        <v>62</v>
      </c>
      <c r="H241" s="15">
        <f t="shared" si="45"/>
        <v>0</v>
      </c>
      <c r="I241" s="21" t="s">
        <v>489</v>
      </c>
      <c r="J241" s="21" t="s">
        <v>489</v>
      </c>
      <c r="K241" s="21" t="s">
        <v>1040</v>
      </c>
      <c r="L241" s="112">
        <v>45568</v>
      </c>
      <c r="M241" s="135">
        <v>188221</v>
      </c>
      <c r="N241" s="114">
        <v>44550</v>
      </c>
      <c r="O241" s="115" t="s">
        <v>66</v>
      </c>
      <c r="P241" s="115" t="s">
        <v>767</v>
      </c>
      <c r="Q241" s="115" t="s">
        <v>947</v>
      </c>
      <c r="R241" s="116" t="s">
        <v>944</v>
      </c>
      <c r="S241" s="115" t="s">
        <v>69</v>
      </c>
      <c r="T241" s="117">
        <v>45407</v>
      </c>
      <c r="U241" s="117"/>
      <c r="V241" s="118">
        <v>30410236</v>
      </c>
      <c r="W241" s="118"/>
      <c r="X241" s="118" t="s">
        <v>1352</v>
      </c>
      <c r="Y241" s="118">
        <v>30410236</v>
      </c>
      <c r="Z241" s="118" t="s">
        <v>70</v>
      </c>
      <c r="AA241" s="118"/>
      <c r="AB241" s="119" t="s">
        <v>945</v>
      </c>
      <c r="AC241" s="120">
        <v>45569</v>
      </c>
      <c r="AD241" s="121">
        <v>1140844020</v>
      </c>
      <c r="AE241" s="122" t="s">
        <v>1347</v>
      </c>
      <c r="AF241" s="126">
        <v>45524</v>
      </c>
      <c r="AG241" s="114"/>
      <c r="AH241" s="21" t="s">
        <v>440</v>
      </c>
      <c r="AI241" s="21"/>
      <c r="AJ241" s="21"/>
      <c r="AK241" s="118">
        <v>30410236</v>
      </c>
      <c r="AL241" s="118">
        <v>0</v>
      </c>
      <c r="AM241" s="123"/>
      <c r="AN241" s="123"/>
      <c r="AO241" s="123"/>
      <c r="AP241" s="123"/>
      <c r="AQ241" s="123"/>
      <c r="AR241" s="123"/>
      <c r="AS241" s="123"/>
      <c r="AT241" s="123"/>
      <c r="AU241" s="123"/>
      <c r="AV241" s="123">
        <v>0.1</v>
      </c>
      <c r="AW241" s="124">
        <f>IF(AK241="","",AK241)</f>
        <v>30410236</v>
      </c>
      <c r="AX241" s="124"/>
      <c r="AY241" s="124">
        <f>IF(AK241="","",ROUND(AL241*100%,2))</f>
        <v>0</v>
      </c>
      <c r="AZ241" s="124"/>
      <c r="BA241" s="21"/>
      <c r="BB241" s="21"/>
      <c r="BC241" s="21"/>
      <c r="BD241" s="21"/>
      <c r="BE241" s="21"/>
      <c r="BF241" s="21"/>
      <c r="BG241" s="21"/>
      <c r="BH241" s="21"/>
      <c r="BI241" s="21"/>
      <c r="BJ241" s="21"/>
    </row>
    <row r="242" spans="1:62" ht="14" x14ac:dyDescent="0.15">
      <c r="A242" s="17">
        <v>237</v>
      </c>
      <c r="B242" s="16" t="s">
        <v>1041</v>
      </c>
      <c r="C242" s="15">
        <v>7858809</v>
      </c>
      <c r="D242" s="112">
        <v>45569</v>
      </c>
      <c r="E242" s="21" t="s">
        <v>85</v>
      </c>
      <c r="F242" s="15">
        <f>C242</f>
        <v>7858809</v>
      </c>
      <c r="G242" s="21" t="s">
        <v>62</v>
      </c>
      <c r="H242" s="15">
        <f t="shared" si="45"/>
        <v>0</v>
      </c>
      <c r="I242" s="21" t="s">
        <v>489</v>
      </c>
      <c r="J242" s="149" t="s">
        <v>120</v>
      </c>
      <c r="K242" s="21" t="s">
        <v>1040</v>
      </c>
      <c r="L242" s="112">
        <v>45568</v>
      </c>
      <c r="M242" s="135">
        <v>188221</v>
      </c>
      <c r="N242" s="114">
        <v>44550</v>
      </c>
      <c r="O242" s="115" t="s">
        <v>66</v>
      </c>
      <c r="P242" s="115" t="s">
        <v>767</v>
      </c>
      <c r="Q242" s="115" t="s">
        <v>947</v>
      </c>
      <c r="R242" s="116" t="s">
        <v>948</v>
      </c>
      <c r="S242" s="115" t="s">
        <v>69</v>
      </c>
      <c r="T242" s="117">
        <v>45569</v>
      </c>
      <c r="U242" s="117"/>
      <c r="V242" s="118">
        <v>7858809</v>
      </c>
      <c r="W242" s="118"/>
      <c r="X242" s="118" t="s">
        <v>1352</v>
      </c>
      <c r="Y242" s="118">
        <f>+V242</f>
        <v>7858809</v>
      </c>
      <c r="Z242" s="118" t="s">
        <v>70</v>
      </c>
      <c r="AA242" s="118"/>
      <c r="AB242" s="119" t="s">
        <v>949</v>
      </c>
      <c r="AC242" s="120">
        <v>45934</v>
      </c>
      <c r="AD242" s="121">
        <v>800200907</v>
      </c>
      <c r="AE242" s="122" t="s">
        <v>1348</v>
      </c>
      <c r="AF242" s="126">
        <v>45524</v>
      </c>
      <c r="AG242" s="114">
        <v>45589</v>
      </c>
      <c r="AH242" s="21" t="s">
        <v>1042</v>
      </c>
      <c r="AI242" s="21"/>
      <c r="AJ242" s="21"/>
      <c r="AK242" s="118">
        <v>7858809</v>
      </c>
      <c r="AL242" s="118">
        <v>0</v>
      </c>
      <c r="AM242" s="123"/>
      <c r="AN242" s="123"/>
      <c r="AO242" s="123"/>
      <c r="AP242" s="123"/>
      <c r="AQ242" s="123"/>
      <c r="AR242" s="123"/>
      <c r="AS242" s="123" t="s">
        <v>1043</v>
      </c>
      <c r="AT242" s="118">
        <f>+AT207/2</f>
        <v>52209464</v>
      </c>
      <c r="AU242" s="123"/>
      <c r="AV242" s="123">
        <v>0.1</v>
      </c>
      <c r="AW242" s="124">
        <f>IF(AK242="","",AK242)</f>
        <v>7858809</v>
      </c>
      <c r="AX242" s="124">
        <f>IF(AK242="","",ROUND(AL242/INT(LEFT(AH242,FIND("m",AH242)-1))*50%,0))</f>
        <v>0</v>
      </c>
      <c r="AY242" s="124">
        <f>IF(AK242="","",ROUND(AL242*40%,2))</f>
        <v>0</v>
      </c>
      <c r="AZ242" s="124">
        <f>IF(AK242="","",ROUND(AL242*10%,2))</f>
        <v>0</v>
      </c>
      <c r="BA242" s="21"/>
      <c r="BB242" s="21"/>
      <c r="BC242" s="21"/>
      <c r="BD242" s="21"/>
      <c r="BE242" s="21"/>
      <c r="BF242" s="21"/>
      <c r="BG242" s="21"/>
      <c r="BH242" s="21"/>
      <c r="BI242" s="21"/>
      <c r="BJ242" s="21"/>
    </row>
    <row r="243" spans="1:62" ht="14" x14ac:dyDescent="0.15">
      <c r="A243" s="17">
        <v>238</v>
      </c>
      <c r="B243" s="16" t="s">
        <v>1044</v>
      </c>
      <c r="C243" s="15">
        <v>59134594.130000003</v>
      </c>
      <c r="D243" s="112">
        <v>45572</v>
      </c>
      <c r="E243" s="21" t="s">
        <v>735</v>
      </c>
      <c r="F243" s="15">
        <v>59134594.130000003</v>
      </c>
      <c r="G243" s="21" t="s">
        <v>62</v>
      </c>
      <c r="H243" s="15">
        <f t="shared" si="45"/>
        <v>0</v>
      </c>
      <c r="I243" s="21" t="s">
        <v>661</v>
      </c>
      <c r="J243" s="21" t="s">
        <v>141</v>
      </c>
      <c r="K243" s="21" t="s">
        <v>1045</v>
      </c>
      <c r="L243" s="112">
        <v>45572</v>
      </c>
      <c r="M243" s="135">
        <v>176921</v>
      </c>
      <c r="N243" s="114">
        <v>44477</v>
      </c>
      <c r="O243" s="115" t="s">
        <v>66</v>
      </c>
      <c r="P243" s="115" t="s">
        <v>767</v>
      </c>
      <c r="Q243" s="115" t="s">
        <v>947</v>
      </c>
      <c r="R243" s="116" t="s">
        <v>736</v>
      </c>
      <c r="S243" s="115" t="s">
        <v>69</v>
      </c>
      <c r="T243" s="117">
        <v>45573</v>
      </c>
      <c r="U243" s="117"/>
      <c r="V243" s="118">
        <v>59134594.130000003</v>
      </c>
      <c r="W243" s="118"/>
      <c r="X243" s="118" t="s">
        <v>1154</v>
      </c>
      <c r="Y243" s="118">
        <v>59134594.130000003</v>
      </c>
      <c r="Z243" s="118" t="s">
        <v>70</v>
      </c>
      <c r="AA243" s="118"/>
      <c r="AB243" s="119" t="s">
        <v>737</v>
      </c>
      <c r="AC243" s="120">
        <v>45573</v>
      </c>
      <c r="AD243" s="121">
        <v>901724275</v>
      </c>
      <c r="AE243" s="122" t="s">
        <v>1339</v>
      </c>
      <c r="AF243" s="126"/>
      <c r="AG243" s="114"/>
      <c r="AH243" s="21" t="s">
        <v>683</v>
      </c>
      <c r="AI243" s="21"/>
      <c r="AJ243" s="21"/>
      <c r="AK243" s="118"/>
      <c r="AL243" s="118">
        <f>+V243</f>
        <v>59134594.130000003</v>
      </c>
      <c r="AM243" s="123"/>
      <c r="AN243" s="123"/>
      <c r="AO243" s="123"/>
      <c r="AP243" s="123"/>
      <c r="AQ243" s="123"/>
      <c r="AR243" s="123"/>
      <c r="AS243" s="123"/>
      <c r="AT243" s="123"/>
      <c r="AU243" s="123"/>
      <c r="AV243" s="123">
        <v>0</v>
      </c>
      <c r="AW243" s="124"/>
      <c r="AX243" s="124">
        <f>+AL243/2</f>
        <v>29567297.065000001</v>
      </c>
      <c r="AY243" s="124">
        <v>0</v>
      </c>
      <c r="AZ243" s="124">
        <v>0</v>
      </c>
      <c r="BA243" s="21" t="s">
        <v>578</v>
      </c>
      <c r="BB243" s="21"/>
      <c r="BC243" s="21"/>
      <c r="BD243" s="21"/>
      <c r="BE243" s="21"/>
      <c r="BF243" s="21"/>
      <c r="BG243" s="21"/>
      <c r="BH243" s="21"/>
      <c r="BI243" s="21"/>
      <c r="BJ243" s="21"/>
    </row>
    <row r="244" spans="1:62" ht="14" x14ac:dyDescent="0.15">
      <c r="A244" s="17">
        <v>239</v>
      </c>
      <c r="B244" s="16" t="s">
        <v>1046</v>
      </c>
      <c r="C244" s="15">
        <v>500000000</v>
      </c>
      <c r="D244" s="112">
        <v>45586</v>
      </c>
      <c r="E244" s="21" t="s">
        <v>480</v>
      </c>
      <c r="F244" s="15">
        <f>C244</f>
        <v>500000000</v>
      </c>
      <c r="G244" s="21" t="s">
        <v>62</v>
      </c>
      <c r="H244" s="15">
        <f t="shared" si="45"/>
        <v>0</v>
      </c>
      <c r="I244" s="21" t="s">
        <v>850</v>
      </c>
      <c r="J244" s="21" t="s">
        <v>87</v>
      </c>
      <c r="K244" s="21" t="s">
        <v>1047</v>
      </c>
      <c r="L244" s="112">
        <v>45586</v>
      </c>
      <c r="M244" s="127">
        <v>162822</v>
      </c>
      <c r="N244" s="114">
        <v>44916</v>
      </c>
      <c r="O244" s="115" t="s">
        <v>66</v>
      </c>
      <c r="P244" s="115" t="s">
        <v>767</v>
      </c>
      <c r="Q244" s="115" t="s">
        <v>947</v>
      </c>
      <c r="R244" s="116" t="s">
        <v>851</v>
      </c>
      <c r="S244" s="115" t="s">
        <v>69</v>
      </c>
      <c r="T244" s="117" t="s">
        <v>1048</v>
      </c>
      <c r="U244" s="117"/>
      <c r="V244" s="118">
        <v>500000000</v>
      </c>
      <c r="W244" s="118"/>
      <c r="X244" s="118" t="s">
        <v>1154</v>
      </c>
      <c r="Y244" s="118">
        <v>500000000</v>
      </c>
      <c r="Z244" s="125" t="s">
        <v>70</v>
      </c>
      <c r="AA244" s="118"/>
      <c r="AB244" s="119" t="s">
        <v>852</v>
      </c>
      <c r="AC244" s="120" t="s">
        <v>1048</v>
      </c>
      <c r="AD244" s="121">
        <v>901780322</v>
      </c>
      <c r="AE244" s="122" t="s">
        <v>1345</v>
      </c>
      <c r="AF244" s="126"/>
      <c r="AG244" s="114"/>
      <c r="AH244" s="21"/>
      <c r="AI244" s="21"/>
      <c r="AJ244" s="21"/>
      <c r="AK244" s="118"/>
      <c r="AL244" s="118">
        <v>500000000</v>
      </c>
      <c r="AM244" s="123"/>
      <c r="AN244" s="123"/>
      <c r="AO244" s="123"/>
      <c r="AP244" s="123"/>
      <c r="AQ244" s="123"/>
      <c r="AR244" s="123"/>
      <c r="AS244" s="123"/>
      <c r="AT244" s="123"/>
      <c r="AU244" s="123"/>
      <c r="AV244" s="123"/>
      <c r="AW244" s="124"/>
      <c r="AX244" s="124"/>
      <c r="AY244" s="124"/>
      <c r="AZ244" s="124"/>
      <c r="BA244" s="21"/>
      <c r="BB244" s="21"/>
      <c r="BC244" s="21"/>
      <c r="BD244" s="21"/>
      <c r="BE244" s="21"/>
      <c r="BF244" s="21"/>
      <c r="BG244" s="21"/>
      <c r="BH244" s="21"/>
      <c r="BI244" s="21"/>
      <c r="BJ244" s="21" t="s">
        <v>1049</v>
      </c>
    </row>
    <row r="245" spans="1:62" ht="14" x14ac:dyDescent="0.15">
      <c r="A245" s="17">
        <v>240</v>
      </c>
      <c r="B245" s="16" t="s">
        <v>1050</v>
      </c>
      <c r="C245" s="15">
        <v>49575136.479999997</v>
      </c>
      <c r="D245" s="112">
        <v>45601</v>
      </c>
      <c r="E245" s="21" t="s">
        <v>735</v>
      </c>
      <c r="F245" s="15">
        <f>C245</f>
        <v>49575136.479999997</v>
      </c>
      <c r="G245" s="21" t="s">
        <v>62</v>
      </c>
      <c r="H245" s="15">
        <f t="shared" si="45"/>
        <v>0</v>
      </c>
      <c r="I245" s="21" t="s">
        <v>227</v>
      </c>
      <c r="J245" s="15" t="s">
        <v>172</v>
      </c>
      <c r="K245" s="21" t="s">
        <v>1051</v>
      </c>
      <c r="L245" s="112">
        <v>45601</v>
      </c>
      <c r="M245" s="127">
        <v>176921</v>
      </c>
      <c r="N245" s="114">
        <v>44477</v>
      </c>
      <c r="O245" s="115" t="s">
        <v>66</v>
      </c>
      <c r="P245" s="115" t="s">
        <v>767</v>
      </c>
      <c r="Q245" s="115"/>
      <c r="R245" s="116" t="s">
        <v>805</v>
      </c>
      <c r="S245" s="115" t="s">
        <v>69</v>
      </c>
      <c r="T245" s="117"/>
      <c r="U245" s="117"/>
      <c r="V245" s="15">
        <v>49575136.479999997</v>
      </c>
      <c r="W245" s="118"/>
      <c r="X245" s="118" t="s">
        <v>1154</v>
      </c>
      <c r="Y245" s="15">
        <v>49575136.479999997</v>
      </c>
      <c r="Z245" s="118" t="s">
        <v>70</v>
      </c>
      <c r="AA245" s="118"/>
      <c r="AB245" s="119" t="s">
        <v>806</v>
      </c>
      <c r="AC245" s="120"/>
      <c r="AD245" s="121">
        <v>10549160</v>
      </c>
      <c r="AE245" s="122" t="s">
        <v>1327</v>
      </c>
      <c r="AF245" s="126"/>
      <c r="AG245" s="114"/>
      <c r="AH245" s="21" t="s">
        <v>748</v>
      </c>
      <c r="AI245" s="21"/>
      <c r="AJ245" s="21"/>
      <c r="AK245" s="118"/>
      <c r="AL245" s="118">
        <f>+Y245</f>
        <v>49575136.479999997</v>
      </c>
      <c r="AM245" s="123"/>
      <c r="AN245" s="123"/>
      <c r="AO245" s="123"/>
      <c r="AP245" s="123"/>
      <c r="AQ245" s="123"/>
      <c r="AR245" s="123"/>
      <c r="AS245" s="123"/>
      <c r="AT245" s="123"/>
      <c r="AU245" s="123"/>
      <c r="AV245" s="123">
        <v>0.1</v>
      </c>
      <c r="AW245" s="124">
        <f>+AK245</f>
        <v>0</v>
      </c>
      <c r="AX245" s="124" t="str">
        <f>IF(AK245="","",ROUND(AL245*90%,2))</f>
        <v/>
      </c>
      <c r="AY245" s="124" t="str">
        <f>IF(AK245="","",ROUND(AL245*40%,2))</f>
        <v/>
      </c>
      <c r="AZ245" s="124" t="str">
        <f>IF(AK245="","",ROUND(AL245*10%,2))</f>
        <v/>
      </c>
      <c r="BA245" s="21"/>
      <c r="BB245" s="21"/>
      <c r="BC245" s="21"/>
      <c r="BD245" s="21"/>
      <c r="BE245" s="21"/>
      <c r="BF245" s="21"/>
      <c r="BG245" s="21"/>
      <c r="BH245" s="21"/>
      <c r="BI245" s="21"/>
      <c r="BJ245" s="21"/>
    </row>
    <row r="246" spans="1:62" ht="14" x14ac:dyDescent="0.15">
      <c r="A246" s="17">
        <v>241</v>
      </c>
      <c r="B246" s="16" t="s">
        <v>1052</v>
      </c>
      <c r="C246" s="15">
        <v>31204660</v>
      </c>
      <c r="D246" s="112">
        <v>45601</v>
      </c>
      <c r="E246" s="21" t="s">
        <v>61</v>
      </c>
      <c r="F246" s="15">
        <f>C246</f>
        <v>31204660</v>
      </c>
      <c r="G246" s="21" t="s">
        <v>62</v>
      </c>
      <c r="H246" s="15">
        <f t="shared" si="45"/>
        <v>0</v>
      </c>
      <c r="I246" s="21" t="s">
        <v>282</v>
      </c>
      <c r="J246" s="21" t="s">
        <v>141</v>
      </c>
      <c r="K246" s="21" t="s">
        <v>1052</v>
      </c>
      <c r="L246" s="112">
        <v>45601</v>
      </c>
      <c r="M246" s="127">
        <v>176921</v>
      </c>
      <c r="N246" s="114">
        <v>44477</v>
      </c>
      <c r="O246" s="115" t="s">
        <v>66</v>
      </c>
      <c r="P246" s="115" t="s">
        <v>767</v>
      </c>
      <c r="Q246" s="115"/>
      <c r="R246" s="116" t="s">
        <v>285</v>
      </c>
      <c r="S246" s="115" t="s">
        <v>69</v>
      </c>
      <c r="T246" s="117"/>
      <c r="U246" s="117"/>
      <c r="V246" s="15">
        <v>31204660</v>
      </c>
      <c r="W246" s="118"/>
      <c r="X246" s="118" t="s">
        <v>1154</v>
      </c>
      <c r="Y246" s="15">
        <v>31204660</v>
      </c>
      <c r="Z246" s="118" t="s">
        <v>70</v>
      </c>
      <c r="AA246" s="118"/>
      <c r="AB246" s="119" t="s">
        <v>286</v>
      </c>
      <c r="AC246" s="120"/>
      <c r="AD246" s="121">
        <v>901580266</v>
      </c>
      <c r="AE246" s="122" t="s">
        <v>1283</v>
      </c>
      <c r="AF246" s="126">
        <v>45601</v>
      </c>
      <c r="AG246" s="114">
        <v>45743</v>
      </c>
      <c r="AH246" s="21"/>
      <c r="AI246" s="21"/>
      <c r="AJ246" s="21"/>
      <c r="AK246" s="118">
        <v>0</v>
      </c>
      <c r="AL246" s="15">
        <v>31204660</v>
      </c>
      <c r="AM246" s="123"/>
      <c r="AN246" s="123"/>
      <c r="AO246" s="123"/>
      <c r="AP246" s="123"/>
      <c r="AQ246" s="123"/>
      <c r="AR246" s="123"/>
      <c r="AS246" s="123"/>
      <c r="AT246" s="123"/>
      <c r="AU246" s="123"/>
      <c r="AV246" s="123"/>
      <c r="AW246" s="124"/>
      <c r="AX246" s="124">
        <f>+AL246*0.5</f>
        <v>15602330</v>
      </c>
      <c r="AY246" s="124">
        <f>IF(AK246="","",ROUND(AL246*40%,2))</f>
        <v>12481864</v>
      </c>
      <c r="AZ246" s="124">
        <f>IF(AK246="","",ROUND(AL246*10%,2))</f>
        <v>3120466</v>
      </c>
      <c r="BA246" s="21"/>
      <c r="BB246" s="21"/>
      <c r="BC246" s="21"/>
      <c r="BD246" s="21"/>
      <c r="BE246" s="21"/>
      <c r="BF246" s="21"/>
      <c r="BG246" s="21"/>
      <c r="BH246" s="21"/>
      <c r="BI246" s="21"/>
      <c r="BJ246" s="21"/>
    </row>
    <row r="247" spans="1:62" ht="14" x14ac:dyDescent="0.15">
      <c r="A247" s="17">
        <v>242</v>
      </c>
      <c r="B247" s="16" t="s">
        <v>1053</v>
      </c>
      <c r="C247" s="15">
        <v>0</v>
      </c>
      <c r="D247" s="112">
        <v>45614</v>
      </c>
      <c r="E247" s="21" t="s">
        <v>480</v>
      </c>
      <c r="F247" s="15">
        <v>0</v>
      </c>
      <c r="G247" s="21"/>
      <c r="H247" s="15">
        <v>0</v>
      </c>
      <c r="I247" s="21" t="s">
        <v>489</v>
      </c>
      <c r="J247" s="21" t="s">
        <v>489</v>
      </c>
      <c r="K247" s="21" t="s">
        <v>1054</v>
      </c>
      <c r="L247" s="112">
        <v>45614</v>
      </c>
      <c r="M247" s="135"/>
      <c r="N247" s="114">
        <v>44550</v>
      </c>
      <c r="O247" s="115" t="s">
        <v>66</v>
      </c>
      <c r="P247" s="115">
        <v>0</v>
      </c>
      <c r="Q247" s="115"/>
      <c r="R247" s="116" t="s">
        <v>125</v>
      </c>
      <c r="S247" s="115" t="s">
        <v>69</v>
      </c>
      <c r="T247" s="117" t="s">
        <v>429</v>
      </c>
      <c r="U247" s="117" t="s">
        <v>124</v>
      </c>
      <c r="V247" s="15">
        <v>0</v>
      </c>
      <c r="W247" s="118">
        <v>0</v>
      </c>
      <c r="X247" s="118" t="s">
        <v>125</v>
      </c>
      <c r="Y247" s="118"/>
      <c r="Z247" s="118" t="s">
        <v>143</v>
      </c>
      <c r="AA247" s="118"/>
      <c r="AB247" s="119" t="s">
        <v>125</v>
      </c>
      <c r="AC247" s="120"/>
      <c r="AD247" s="121">
        <v>901718288</v>
      </c>
      <c r="AE247" s="122" t="s">
        <v>1331</v>
      </c>
      <c r="AF247" s="126"/>
      <c r="AG247" s="114"/>
      <c r="AH247" s="21"/>
      <c r="AI247" s="21"/>
      <c r="AJ247" s="21"/>
      <c r="AK247" s="118"/>
      <c r="AL247" s="118"/>
      <c r="AM247" s="123"/>
      <c r="AN247" s="123"/>
      <c r="AO247" s="123"/>
      <c r="AP247" s="123"/>
      <c r="AQ247" s="123"/>
      <c r="AR247" s="123"/>
      <c r="AS247" s="123"/>
      <c r="AT247" s="123"/>
      <c r="AU247" s="123"/>
      <c r="AV247" s="123"/>
      <c r="AW247" s="124"/>
      <c r="AX247" s="124">
        <v>19148314.5</v>
      </c>
      <c r="AY247" s="124"/>
      <c r="AZ247" s="124"/>
      <c r="BA247" s="21" t="s">
        <v>670</v>
      </c>
      <c r="BB247" s="21"/>
      <c r="BC247" s="21"/>
      <c r="BD247" s="21"/>
      <c r="BE247" s="21"/>
      <c r="BF247" s="21"/>
      <c r="BG247" s="21"/>
      <c r="BH247" s="21"/>
      <c r="BI247" s="21"/>
      <c r="BJ247" s="21"/>
    </row>
    <row r="248" spans="1:62" ht="14" x14ac:dyDescent="0.15">
      <c r="A248" s="17">
        <v>243</v>
      </c>
      <c r="B248" s="16" t="s">
        <v>1055</v>
      </c>
      <c r="C248" s="15">
        <v>0</v>
      </c>
      <c r="D248" s="112">
        <v>45614</v>
      </c>
      <c r="E248" s="21" t="s">
        <v>61</v>
      </c>
      <c r="F248" s="15">
        <v>0</v>
      </c>
      <c r="G248" s="21"/>
      <c r="H248" s="15">
        <v>0</v>
      </c>
      <c r="I248" s="21" t="s">
        <v>489</v>
      </c>
      <c r="J248" s="21" t="s">
        <v>489</v>
      </c>
      <c r="K248" s="21"/>
      <c r="L248" s="112"/>
      <c r="M248" s="127"/>
      <c r="N248" s="114"/>
      <c r="O248" s="115" t="s">
        <v>1056</v>
      </c>
      <c r="P248" s="115">
        <v>0</v>
      </c>
      <c r="Q248" s="115"/>
      <c r="R248" s="116" t="s">
        <v>125</v>
      </c>
      <c r="S248" s="115" t="s">
        <v>69</v>
      </c>
      <c r="T248" s="117" t="s">
        <v>429</v>
      </c>
      <c r="U248" s="117" t="s">
        <v>124</v>
      </c>
      <c r="V248" s="15">
        <v>0</v>
      </c>
      <c r="W248" s="118">
        <v>0</v>
      </c>
      <c r="X248" s="118" t="s">
        <v>125</v>
      </c>
      <c r="Y248" s="118"/>
      <c r="Z248" s="118" t="s">
        <v>143</v>
      </c>
      <c r="AA248" s="118"/>
      <c r="AB248" s="119" t="s">
        <v>125</v>
      </c>
      <c r="AC248" s="120"/>
      <c r="AD248" s="121"/>
      <c r="AE248" s="122" t="s">
        <v>1159</v>
      </c>
      <c r="AF248" s="126"/>
      <c r="AG248" s="114"/>
      <c r="AH248" s="21"/>
      <c r="AI248" s="21"/>
      <c r="AJ248" s="21"/>
      <c r="AK248" s="118"/>
      <c r="AL248" s="118"/>
      <c r="AM248" s="123"/>
      <c r="AN248" s="123"/>
      <c r="AO248" s="123"/>
      <c r="AP248" s="123"/>
      <c r="AQ248" s="123"/>
      <c r="AR248" s="123"/>
      <c r="AS248" s="123"/>
      <c r="AT248" s="123"/>
      <c r="AU248" s="123"/>
      <c r="AV248" s="123"/>
      <c r="AW248" s="124"/>
      <c r="AX248" s="124"/>
      <c r="AY248" s="124"/>
      <c r="AZ248" s="124"/>
      <c r="BA248" s="21"/>
      <c r="BB248" s="21"/>
      <c r="BC248" s="21"/>
      <c r="BD248" s="21"/>
      <c r="BE248" s="21"/>
      <c r="BF248" s="21"/>
      <c r="BG248" s="21"/>
      <c r="BH248" s="21"/>
      <c r="BI248" s="21"/>
      <c r="BJ248" s="21"/>
    </row>
    <row r="249" spans="1:62" ht="14" x14ac:dyDescent="0.15">
      <c r="A249" s="17">
        <v>244</v>
      </c>
      <c r="B249" s="16" t="s">
        <v>1057</v>
      </c>
      <c r="C249" s="15">
        <v>66372250</v>
      </c>
      <c r="D249" s="112">
        <v>45614</v>
      </c>
      <c r="E249" s="21" t="s">
        <v>723</v>
      </c>
      <c r="F249" s="15">
        <v>66372250</v>
      </c>
      <c r="G249" s="21" t="s">
        <v>62</v>
      </c>
      <c r="H249" s="15">
        <f>C249-F249</f>
        <v>0</v>
      </c>
      <c r="I249" s="21" t="s">
        <v>374</v>
      </c>
      <c r="J249" s="21" t="s">
        <v>136</v>
      </c>
      <c r="K249" s="21" t="s">
        <v>1058</v>
      </c>
      <c r="L249" s="112">
        <v>45615</v>
      </c>
      <c r="M249" s="127">
        <v>1128</v>
      </c>
      <c r="N249" s="114">
        <v>45275</v>
      </c>
      <c r="O249" s="122" t="s">
        <v>830</v>
      </c>
      <c r="P249" s="115" t="s">
        <v>1059</v>
      </c>
      <c r="Q249" s="21"/>
      <c r="R249" s="116" t="s">
        <v>375</v>
      </c>
      <c r="S249" s="115" t="s">
        <v>69</v>
      </c>
      <c r="T249" s="117"/>
      <c r="U249" s="117" t="s">
        <v>124</v>
      </c>
      <c r="V249" s="138">
        <v>66372250</v>
      </c>
      <c r="W249" s="118"/>
      <c r="X249" s="118" t="s">
        <v>1117</v>
      </c>
      <c r="Y249" s="15">
        <v>66372250</v>
      </c>
      <c r="Z249" s="118" t="s">
        <v>70</v>
      </c>
      <c r="AA249" s="15"/>
      <c r="AB249" s="119" t="s">
        <v>376</v>
      </c>
      <c r="AC249" s="120"/>
      <c r="AD249" s="121">
        <v>901582248</v>
      </c>
      <c r="AE249" s="122" t="s">
        <v>1295</v>
      </c>
      <c r="AF249" s="126"/>
      <c r="AG249" s="114"/>
      <c r="AH249" s="21" t="s">
        <v>1060</v>
      </c>
      <c r="AI249" s="21"/>
      <c r="AJ249" s="21"/>
      <c r="AK249" s="118">
        <v>0</v>
      </c>
      <c r="AL249" s="15">
        <v>66372250</v>
      </c>
      <c r="AM249" s="123"/>
      <c r="AN249" s="123"/>
      <c r="AO249" s="123"/>
      <c r="AP249" s="123"/>
      <c r="AQ249" s="123"/>
      <c r="AR249" s="123"/>
      <c r="AS249" s="123"/>
      <c r="AT249" s="123"/>
      <c r="AU249" s="123"/>
      <c r="AV249" s="123"/>
      <c r="AW249" s="124"/>
      <c r="AX249" s="124">
        <f>IF(AK249="","",ROUND(AL249/INT(LEFT(AH249,FIND("m",AH249)-1))*90%,0))</f>
        <v>11947005</v>
      </c>
      <c r="AY249" s="124"/>
      <c r="AZ249" s="124">
        <f>IF(AK249="","",ROUND(AL249*10%,2))</f>
        <v>6637225</v>
      </c>
      <c r="BA249" s="21"/>
      <c r="BB249" s="21"/>
      <c r="BC249" s="21"/>
      <c r="BD249" s="21"/>
      <c r="BE249" s="21"/>
      <c r="BF249" s="21"/>
      <c r="BG249" s="21"/>
      <c r="BH249" s="21"/>
      <c r="BI249" s="21"/>
      <c r="BJ249" s="21"/>
    </row>
    <row r="250" spans="1:62" ht="14" x14ac:dyDescent="0.15">
      <c r="A250" s="17">
        <v>245</v>
      </c>
      <c r="B250" s="16" t="s">
        <v>1061</v>
      </c>
      <c r="C250" s="15">
        <v>99334166</v>
      </c>
      <c r="D250" s="112">
        <v>45621</v>
      </c>
      <c r="E250" s="21" t="s">
        <v>723</v>
      </c>
      <c r="F250" s="15">
        <v>99334166</v>
      </c>
      <c r="G250" s="21" t="s">
        <v>62</v>
      </c>
      <c r="H250" s="15">
        <f>C250-F250</f>
        <v>0</v>
      </c>
      <c r="I250" s="21" t="s">
        <v>94</v>
      </c>
      <c r="J250" s="21" t="s">
        <v>64</v>
      </c>
      <c r="K250" s="21" t="s">
        <v>1062</v>
      </c>
      <c r="L250" s="112">
        <v>45621</v>
      </c>
      <c r="M250" s="156" t="s">
        <v>1063</v>
      </c>
      <c r="N250" s="114">
        <v>45559</v>
      </c>
      <c r="O250" s="122" t="s">
        <v>830</v>
      </c>
      <c r="P250" s="115" t="s">
        <v>1064</v>
      </c>
      <c r="Q250" s="115"/>
      <c r="R250" s="116" t="s">
        <v>95</v>
      </c>
      <c r="S250" s="115" t="s">
        <v>69</v>
      </c>
      <c r="T250" s="117">
        <v>45621</v>
      </c>
      <c r="U250" s="117" t="s">
        <v>124</v>
      </c>
      <c r="V250" s="138">
        <v>99334166</v>
      </c>
      <c r="W250" s="118"/>
      <c r="X250" s="118" t="s">
        <v>1117</v>
      </c>
      <c r="Y250" s="15">
        <v>99334166</v>
      </c>
      <c r="Z250" s="118" t="s">
        <v>70</v>
      </c>
      <c r="AA250" s="118"/>
      <c r="AB250" s="116" t="s">
        <v>96</v>
      </c>
      <c r="AC250" s="120">
        <v>45621</v>
      </c>
      <c r="AD250" s="121">
        <v>901575163</v>
      </c>
      <c r="AE250" s="122" t="s">
        <v>1263</v>
      </c>
      <c r="AF250" s="126"/>
      <c r="AG250" s="114"/>
      <c r="AH250" s="21" t="s">
        <v>590</v>
      </c>
      <c r="AI250" s="21"/>
      <c r="AJ250" s="21"/>
      <c r="AK250" s="118">
        <v>0</v>
      </c>
      <c r="AL250" s="15">
        <v>99334166</v>
      </c>
      <c r="AM250" s="123"/>
      <c r="AN250" s="123"/>
      <c r="AO250" s="123"/>
      <c r="AP250" s="123"/>
      <c r="AQ250" s="123"/>
      <c r="AR250" s="123"/>
      <c r="AS250" s="123"/>
      <c r="AT250" s="123"/>
      <c r="AU250" s="123"/>
      <c r="AV250" s="123">
        <v>0.1</v>
      </c>
      <c r="AW250" s="124">
        <f>IF(AK250="","",AK250)</f>
        <v>0</v>
      </c>
      <c r="AX250" s="124">
        <f>+AL250*0.5</f>
        <v>49667083</v>
      </c>
      <c r="AY250" s="124">
        <f>+AL250*0.4</f>
        <v>39733666.399999999</v>
      </c>
      <c r="AZ250" s="124">
        <f>IF(AK250="","",ROUND(AL250*10%,2))</f>
        <v>9933416.5999999996</v>
      </c>
      <c r="BA250" s="21" t="s">
        <v>99</v>
      </c>
      <c r="BB250" s="21"/>
      <c r="BC250" s="21"/>
      <c r="BD250" s="21"/>
      <c r="BE250" s="21"/>
      <c r="BF250" s="21"/>
      <c r="BG250" s="21"/>
      <c r="BH250" s="21"/>
      <c r="BI250" s="21"/>
      <c r="BJ250" s="21"/>
    </row>
    <row r="251" spans="1:62" ht="14" x14ac:dyDescent="0.15">
      <c r="A251" s="17">
        <v>246</v>
      </c>
      <c r="B251" s="16" t="s">
        <v>1065</v>
      </c>
      <c r="C251" s="15">
        <v>0</v>
      </c>
      <c r="D251" s="112">
        <v>45621</v>
      </c>
      <c r="E251" s="21" t="s">
        <v>480</v>
      </c>
      <c r="F251" s="15">
        <v>0</v>
      </c>
      <c r="G251" s="21"/>
      <c r="H251" s="15">
        <v>0</v>
      </c>
      <c r="I251" s="21" t="s">
        <v>489</v>
      </c>
      <c r="J251" s="21" t="s">
        <v>489</v>
      </c>
      <c r="K251" s="21" t="s">
        <v>1066</v>
      </c>
      <c r="L251" s="112">
        <v>45621</v>
      </c>
      <c r="M251" s="135"/>
      <c r="N251" s="114">
        <v>44550</v>
      </c>
      <c r="O251" s="115" t="s">
        <v>66</v>
      </c>
      <c r="P251" s="115">
        <v>0</v>
      </c>
      <c r="Q251" s="115"/>
      <c r="R251" s="116" t="s">
        <v>125</v>
      </c>
      <c r="S251" s="115" t="s">
        <v>69</v>
      </c>
      <c r="T251" s="117" t="s">
        <v>429</v>
      </c>
      <c r="U251" s="117" t="s">
        <v>124</v>
      </c>
      <c r="V251" s="15">
        <v>0</v>
      </c>
      <c r="W251" s="118">
        <v>0</v>
      </c>
      <c r="X251" s="118" t="s">
        <v>125</v>
      </c>
      <c r="Y251" s="118"/>
      <c r="Z251" s="118" t="s">
        <v>143</v>
      </c>
      <c r="AA251" s="118"/>
      <c r="AB251" s="132" t="s">
        <v>125</v>
      </c>
      <c r="AC251" s="120"/>
      <c r="AD251" s="121">
        <v>901718288</v>
      </c>
      <c r="AE251" s="122" t="s">
        <v>1331</v>
      </c>
      <c r="AF251" s="126"/>
      <c r="AG251" s="114"/>
      <c r="AH251" s="21"/>
      <c r="AI251" s="21"/>
      <c r="AJ251" s="21"/>
      <c r="AK251" s="118"/>
      <c r="AL251" s="118"/>
      <c r="AM251" s="123"/>
      <c r="AN251" s="123"/>
      <c r="AO251" s="123"/>
      <c r="AP251" s="123"/>
      <c r="AQ251" s="123"/>
      <c r="AR251" s="123"/>
      <c r="AS251" s="123"/>
      <c r="AT251" s="123"/>
      <c r="AU251" s="123"/>
      <c r="AV251" s="123"/>
      <c r="AW251" s="124"/>
      <c r="AX251" s="124"/>
      <c r="AY251" s="124"/>
      <c r="AZ251" s="124"/>
      <c r="BA251" s="21"/>
      <c r="BB251" s="21"/>
      <c r="BC251" s="21"/>
      <c r="BD251" s="21"/>
      <c r="BE251" s="21"/>
      <c r="BF251" s="21"/>
      <c r="BG251" s="21"/>
      <c r="BH251" s="21"/>
      <c r="BI251" s="21"/>
      <c r="BJ251" s="21"/>
    </row>
    <row r="252" spans="1:62" ht="14" x14ac:dyDescent="0.15">
      <c r="A252" s="17">
        <v>247</v>
      </c>
      <c r="B252" s="16" t="s">
        <v>1067</v>
      </c>
      <c r="C252" s="15">
        <v>0</v>
      </c>
      <c r="D252" s="112">
        <v>45621</v>
      </c>
      <c r="E252" s="21" t="s">
        <v>61</v>
      </c>
      <c r="F252" s="15">
        <v>0</v>
      </c>
      <c r="G252" s="21"/>
      <c r="H252" s="15">
        <v>0</v>
      </c>
      <c r="I252" s="21" t="s">
        <v>489</v>
      </c>
      <c r="J252" s="21" t="s">
        <v>489</v>
      </c>
      <c r="K252" s="21" t="s">
        <v>1068</v>
      </c>
      <c r="L252" s="112">
        <v>45621</v>
      </c>
      <c r="M252" s="135"/>
      <c r="N252" s="114">
        <v>44550</v>
      </c>
      <c r="O252" s="115" t="s">
        <v>66</v>
      </c>
      <c r="P252" s="115">
        <v>0</v>
      </c>
      <c r="Q252" s="115"/>
      <c r="R252" s="116" t="s">
        <v>125</v>
      </c>
      <c r="S252" s="115" t="s">
        <v>69</v>
      </c>
      <c r="T252" s="117" t="s">
        <v>429</v>
      </c>
      <c r="U252" s="117" t="s">
        <v>124</v>
      </c>
      <c r="V252" s="15">
        <v>0</v>
      </c>
      <c r="W252" s="118">
        <f>+V252</f>
        <v>0</v>
      </c>
      <c r="X252" s="118" t="s">
        <v>125</v>
      </c>
      <c r="Y252" s="118"/>
      <c r="Z252" s="118" t="s">
        <v>143</v>
      </c>
      <c r="AA252" s="118">
        <v>0</v>
      </c>
      <c r="AB252" s="119" t="s">
        <v>125</v>
      </c>
      <c r="AC252" s="120"/>
      <c r="AD252" s="121"/>
      <c r="AE252" s="122" t="s">
        <v>1159</v>
      </c>
      <c r="AF252" s="126"/>
      <c r="AG252" s="114"/>
      <c r="AH252" s="21"/>
      <c r="AI252" s="21"/>
      <c r="AJ252" s="21"/>
      <c r="AK252" s="118"/>
      <c r="AL252" s="118"/>
      <c r="AM252" s="123"/>
      <c r="AN252" s="123"/>
      <c r="AO252" s="123"/>
      <c r="AP252" s="123"/>
      <c r="AQ252" s="123"/>
      <c r="AR252" s="123"/>
      <c r="AS252" s="123"/>
      <c r="AT252" s="123"/>
      <c r="AU252" s="123"/>
      <c r="AV252" s="123"/>
      <c r="AW252" s="124"/>
      <c r="AX252" s="124"/>
      <c r="AY252" s="124"/>
      <c r="AZ252" s="124"/>
      <c r="BA252" s="21"/>
      <c r="BB252" s="21"/>
      <c r="BC252" s="21"/>
      <c r="BD252" s="21"/>
      <c r="BE252" s="21"/>
      <c r="BF252" s="21"/>
      <c r="BG252" s="21"/>
      <c r="BH252" s="21"/>
      <c r="BI252" s="21"/>
      <c r="BJ252" s="21"/>
    </row>
    <row r="253" spans="1:62" ht="14" x14ac:dyDescent="0.15">
      <c r="A253" s="17">
        <v>248</v>
      </c>
      <c r="B253" s="16" t="s">
        <v>1069</v>
      </c>
      <c r="C253" s="15">
        <v>278438179</v>
      </c>
      <c r="D253" s="112">
        <v>45621</v>
      </c>
      <c r="E253" s="21" t="s">
        <v>480</v>
      </c>
      <c r="F253" s="15">
        <v>278438179</v>
      </c>
      <c r="G253" s="21"/>
      <c r="H253" s="15"/>
      <c r="I253" s="21" t="s">
        <v>889</v>
      </c>
      <c r="J253" s="21" t="s">
        <v>64</v>
      </c>
      <c r="K253" s="21" t="s">
        <v>1070</v>
      </c>
      <c r="L253" s="112">
        <v>45621</v>
      </c>
      <c r="M253" s="127">
        <v>188021</v>
      </c>
      <c r="N253" s="114">
        <v>44550</v>
      </c>
      <c r="O253" s="115" t="s">
        <v>66</v>
      </c>
      <c r="P253" s="115" t="s">
        <v>767</v>
      </c>
      <c r="Q253" s="115"/>
      <c r="R253" s="116" t="s">
        <v>894</v>
      </c>
      <c r="S253" s="115" t="s">
        <v>69</v>
      </c>
      <c r="T253" s="120">
        <v>45622</v>
      </c>
      <c r="U253" s="117"/>
      <c r="V253" s="15">
        <v>278438179</v>
      </c>
      <c r="W253" s="118"/>
      <c r="X253" s="118" t="s">
        <v>1154</v>
      </c>
      <c r="Y253" s="118">
        <f>+V253</f>
        <v>278438179</v>
      </c>
      <c r="Z253" s="118" t="s">
        <v>70</v>
      </c>
      <c r="AA253" s="118"/>
      <c r="AB253" s="119" t="s">
        <v>895</v>
      </c>
      <c r="AC253" s="120">
        <v>45622</v>
      </c>
      <c r="AD253" s="121">
        <v>901793092</v>
      </c>
      <c r="AE253" s="122" t="s">
        <v>896</v>
      </c>
      <c r="AF253" s="126"/>
      <c r="AG253" s="114"/>
      <c r="AH253" s="21"/>
      <c r="AI253" s="21"/>
      <c r="AJ253" s="21"/>
      <c r="AK253" s="118"/>
      <c r="AL253" s="15">
        <f>+V253</f>
        <v>278438179</v>
      </c>
      <c r="AM253" s="123"/>
      <c r="AN253" s="123"/>
      <c r="AO253" s="123"/>
      <c r="AP253" s="123"/>
      <c r="AQ253" s="134">
        <v>197656121.86533844</v>
      </c>
      <c r="AR253" s="144">
        <f>+AQ253*$AM$194</f>
        <v>65068395.318069413</v>
      </c>
      <c r="AS253" s="144">
        <f>+AQ253*$AN$194</f>
        <v>3953122.4373067692</v>
      </c>
      <c r="AT253" s="144">
        <f>+AQ253*$AO$194</f>
        <v>9882806.093266923</v>
      </c>
      <c r="AU253" s="144">
        <f>+AT253*19%</f>
        <v>1877733.1577207153</v>
      </c>
      <c r="AV253" s="123">
        <v>0.1</v>
      </c>
      <c r="AW253" s="124"/>
      <c r="AX253" s="124"/>
      <c r="AY253" s="124">
        <f>+AL253</f>
        <v>278438179</v>
      </c>
      <c r="AZ253" s="124"/>
      <c r="BA253" s="21"/>
      <c r="BB253" s="21"/>
      <c r="BC253" s="21"/>
      <c r="BD253" s="21"/>
      <c r="BE253" s="21"/>
      <c r="BF253" s="21"/>
      <c r="BG253" s="21"/>
      <c r="BH253" s="21"/>
      <c r="BI253" s="21"/>
      <c r="BJ253" s="21"/>
    </row>
    <row r="254" spans="1:62" ht="14" x14ac:dyDescent="0.15">
      <c r="A254" s="17">
        <v>249</v>
      </c>
      <c r="B254" s="16" t="s">
        <v>1071</v>
      </c>
      <c r="C254" s="15">
        <v>43302626</v>
      </c>
      <c r="D254" s="112">
        <v>45621</v>
      </c>
      <c r="E254" s="21" t="s">
        <v>85</v>
      </c>
      <c r="F254" s="15">
        <v>43302626</v>
      </c>
      <c r="G254" s="21" t="s">
        <v>62</v>
      </c>
      <c r="H254" s="15">
        <f>C254-F254</f>
        <v>0</v>
      </c>
      <c r="I254" s="21" t="s">
        <v>889</v>
      </c>
      <c r="J254" s="21" t="s">
        <v>64</v>
      </c>
      <c r="K254" s="21" t="s">
        <v>1072</v>
      </c>
      <c r="L254" s="112">
        <v>45621</v>
      </c>
      <c r="M254" s="127">
        <v>188021</v>
      </c>
      <c r="N254" s="114">
        <v>44550</v>
      </c>
      <c r="O254" s="115" t="s">
        <v>66</v>
      </c>
      <c r="P254" s="115" t="s">
        <v>767</v>
      </c>
      <c r="Q254" s="115"/>
      <c r="R254" s="116" t="s">
        <v>891</v>
      </c>
      <c r="S254" s="115" t="s">
        <v>69</v>
      </c>
      <c r="T254" s="117"/>
      <c r="U254" s="117"/>
      <c r="V254" s="15">
        <v>43302626</v>
      </c>
      <c r="W254" s="118"/>
      <c r="X254" s="118" t="s">
        <v>1154</v>
      </c>
      <c r="Y254" s="118">
        <v>43302626</v>
      </c>
      <c r="Z254" s="118" t="s">
        <v>70</v>
      </c>
      <c r="AA254" s="118"/>
      <c r="AB254" s="119" t="s">
        <v>892</v>
      </c>
      <c r="AC254" s="120"/>
      <c r="AD254" s="121">
        <v>811036279</v>
      </c>
      <c r="AE254" s="122" t="s">
        <v>1284</v>
      </c>
      <c r="AF254" s="126"/>
      <c r="AG254" s="114"/>
      <c r="AH254" s="21"/>
      <c r="AI254" s="21" t="s">
        <v>326</v>
      </c>
      <c r="AJ254" s="21"/>
      <c r="AK254" s="118"/>
      <c r="AL254" s="15">
        <v>43302626</v>
      </c>
      <c r="AM254" s="123"/>
      <c r="AN254" s="123"/>
      <c r="AO254" s="123"/>
      <c r="AP254" s="123"/>
      <c r="AQ254" s="123"/>
      <c r="AR254" s="123"/>
      <c r="AS254" s="123"/>
      <c r="AT254" s="123"/>
      <c r="AU254" s="123"/>
      <c r="AV254" s="123">
        <v>0.1</v>
      </c>
      <c r="AW254" s="124"/>
      <c r="AX254" s="124">
        <f>+AL254*0.5</f>
        <v>21651313</v>
      </c>
      <c r="AY254" s="124">
        <f>+AL254*0.4</f>
        <v>17321050.400000002</v>
      </c>
      <c r="AZ254" s="124">
        <f>+AL254*0.1</f>
        <v>4330262.6000000006</v>
      </c>
      <c r="BA254" s="21"/>
      <c r="BB254" s="21"/>
      <c r="BC254" s="21"/>
      <c r="BD254" s="21"/>
      <c r="BE254" s="21"/>
      <c r="BF254" s="21"/>
      <c r="BG254" s="21"/>
      <c r="BH254" s="21"/>
      <c r="BI254" s="21"/>
      <c r="BJ254" s="21"/>
    </row>
    <row r="255" spans="1:62" ht="14" x14ac:dyDescent="0.15">
      <c r="A255" s="17">
        <v>250</v>
      </c>
      <c r="B255" s="16" t="s">
        <v>1073</v>
      </c>
      <c r="C255" s="15">
        <v>107340792</v>
      </c>
      <c r="D255" s="112">
        <v>45635</v>
      </c>
      <c r="E255" s="21" t="s">
        <v>480</v>
      </c>
      <c r="F255" s="15">
        <v>107340792</v>
      </c>
      <c r="G255" s="21"/>
      <c r="H255" s="15"/>
      <c r="I255" s="21" t="s">
        <v>952</v>
      </c>
      <c r="J255" s="15" t="s">
        <v>334</v>
      </c>
      <c r="K255" s="21"/>
      <c r="L255" s="112"/>
      <c r="M255" s="127">
        <v>188021</v>
      </c>
      <c r="N255" s="114">
        <v>44550</v>
      </c>
      <c r="O255" s="115" t="s">
        <v>66</v>
      </c>
      <c r="P255" s="115" t="s">
        <v>767</v>
      </c>
      <c r="Q255" s="115"/>
      <c r="R255" s="151" t="s">
        <v>953</v>
      </c>
      <c r="S255" s="115" t="s">
        <v>69</v>
      </c>
      <c r="T255" s="117"/>
      <c r="U255" s="117"/>
      <c r="V255" s="15">
        <v>107340792</v>
      </c>
      <c r="W255" s="118"/>
      <c r="X255" s="118" t="s">
        <v>1154</v>
      </c>
      <c r="Y255" s="118">
        <f>+C255</f>
        <v>107340792</v>
      </c>
      <c r="Z255" s="118" t="s">
        <v>70</v>
      </c>
      <c r="AA255" s="118"/>
      <c r="AB255" s="119" t="s">
        <v>954</v>
      </c>
      <c r="AC255" s="120"/>
      <c r="AD255" s="121">
        <v>901838288</v>
      </c>
      <c r="AE255" s="122" t="s">
        <v>955</v>
      </c>
      <c r="AF255" s="126"/>
      <c r="AG255" s="114"/>
      <c r="AH255" s="21" t="s">
        <v>1074</v>
      </c>
      <c r="AI255" s="21"/>
      <c r="AJ255" s="21"/>
      <c r="AK255" s="118"/>
      <c r="AL255" s="118">
        <v>107340792</v>
      </c>
      <c r="AM255" s="136">
        <v>0.2215</v>
      </c>
      <c r="AN255" s="123">
        <v>0.01</v>
      </c>
      <c r="AO255" s="123">
        <v>0.05</v>
      </c>
      <c r="AP255" s="123">
        <v>0.19</v>
      </c>
      <c r="AQ255" s="123"/>
      <c r="AR255" s="123"/>
      <c r="AS255" s="123"/>
      <c r="AT255" s="123"/>
      <c r="AU255" s="123"/>
      <c r="AV255" s="123"/>
      <c r="AW255" s="118"/>
      <c r="AX255" s="118">
        <v>0</v>
      </c>
      <c r="AY255" s="118">
        <v>107340792</v>
      </c>
      <c r="AZ255" s="124"/>
      <c r="BA255" s="21"/>
      <c r="BB255" s="21"/>
      <c r="BC255" s="21"/>
      <c r="BD255" s="21"/>
      <c r="BE255" s="21"/>
      <c r="BF255" s="21"/>
      <c r="BG255" s="21"/>
      <c r="BH255" s="21"/>
      <c r="BI255" s="21"/>
      <c r="BJ255" s="21"/>
    </row>
    <row r="256" spans="1:62" ht="14" x14ac:dyDescent="0.15">
      <c r="A256" s="17">
        <v>251</v>
      </c>
      <c r="B256" s="16" t="s">
        <v>1013</v>
      </c>
      <c r="C256" s="15">
        <v>64772361</v>
      </c>
      <c r="D256" s="112">
        <v>45635</v>
      </c>
      <c r="E256" s="21" t="s">
        <v>61</v>
      </c>
      <c r="F256" s="15">
        <v>64772361</v>
      </c>
      <c r="G256" s="21"/>
      <c r="H256" s="15"/>
      <c r="I256" s="21" t="s">
        <v>470</v>
      </c>
      <c r="J256" s="21" t="s">
        <v>87</v>
      </c>
      <c r="K256" s="21"/>
      <c r="L256" s="112">
        <v>45635</v>
      </c>
      <c r="M256" s="113">
        <v>188321</v>
      </c>
      <c r="N256" s="114">
        <v>44550</v>
      </c>
      <c r="O256" s="115" t="s">
        <v>66</v>
      </c>
      <c r="P256" s="115" t="s">
        <v>767</v>
      </c>
      <c r="Q256" s="115"/>
      <c r="R256" s="116" t="s">
        <v>471</v>
      </c>
      <c r="S256" s="115" t="s">
        <v>69</v>
      </c>
      <c r="T256" s="117">
        <v>45636</v>
      </c>
      <c r="U256" s="117"/>
      <c r="V256" s="15">
        <v>64772361</v>
      </c>
      <c r="W256" s="118"/>
      <c r="X256" s="118" t="s">
        <v>1352</v>
      </c>
      <c r="Y256" s="118">
        <f>+V256</f>
        <v>64772361</v>
      </c>
      <c r="Z256" s="118" t="s">
        <v>70</v>
      </c>
      <c r="AA256" s="118"/>
      <c r="AB256" s="119" t="s">
        <v>472</v>
      </c>
      <c r="AC256" s="120"/>
      <c r="AD256" s="121">
        <v>900021482</v>
      </c>
      <c r="AE256" s="122" t="s">
        <v>1306</v>
      </c>
      <c r="AF256" s="126"/>
      <c r="AG256" s="114"/>
      <c r="AH256" s="21" t="s">
        <v>326</v>
      </c>
      <c r="AI256" s="21"/>
      <c r="AJ256" s="21"/>
      <c r="AK256" s="118">
        <v>0</v>
      </c>
      <c r="AL256" s="118">
        <v>64772361</v>
      </c>
      <c r="AM256" s="123"/>
      <c r="AN256" s="123"/>
      <c r="AO256" s="123"/>
      <c r="AP256" s="123"/>
      <c r="AQ256" s="123"/>
      <c r="AR256" s="123"/>
      <c r="AS256" s="123"/>
      <c r="AT256" s="123"/>
      <c r="AU256" s="123"/>
      <c r="AV256" s="123"/>
      <c r="AW256" s="124">
        <v>0</v>
      </c>
      <c r="AX256" s="124">
        <f>IF(AK256="","",ROUND(AL256/INT(LEFT(AH256,FIND("m",AH256)-1))*100%,2))</f>
        <v>64772361</v>
      </c>
      <c r="AY256" s="124">
        <v>0</v>
      </c>
      <c r="AZ256" s="124">
        <v>0</v>
      </c>
      <c r="BA256" s="21"/>
      <c r="BB256" s="21"/>
      <c r="BC256" s="21"/>
      <c r="BD256" s="21"/>
      <c r="BE256" s="21"/>
      <c r="BF256" s="21"/>
      <c r="BG256" s="21"/>
      <c r="BH256" s="21"/>
      <c r="BI256" s="21"/>
      <c r="BJ256" s="21"/>
    </row>
    <row r="257" spans="1:62" ht="14" x14ac:dyDescent="0.15">
      <c r="A257" s="17">
        <v>252</v>
      </c>
      <c r="B257" s="16" t="s">
        <v>1075</v>
      </c>
      <c r="C257" s="15">
        <v>154856077</v>
      </c>
      <c r="D257" s="112">
        <v>45635</v>
      </c>
      <c r="E257" s="21" t="s">
        <v>480</v>
      </c>
      <c r="F257" s="15">
        <v>154856077</v>
      </c>
      <c r="G257" s="21"/>
      <c r="H257" s="15"/>
      <c r="I257" s="21" t="s">
        <v>974</v>
      </c>
      <c r="J257" s="152" t="s">
        <v>334</v>
      </c>
      <c r="K257" s="21"/>
      <c r="L257" s="112">
        <v>45635</v>
      </c>
      <c r="M257" s="127">
        <v>188021</v>
      </c>
      <c r="N257" s="114">
        <v>44550</v>
      </c>
      <c r="O257" s="115" t="s">
        <v>66</v>
      </c>
      <c r="P257" s="115" t="s">
        <v>767</v>
      </c>
      <c r="Q257" s="115" t="s">
        <v>947</v>
      </c>
      <c r="R257" s="151" t="s">
        <v>975</v>
      </c>
      <c r="S257" s="115" t="s">
        <v>69</v>
      </c>
      <c r="T257" s="117">
        <v>45636</v>
      </c>
      <c r="U257" s="117"/>
      <c r="V257" s="15">
        <v>154856077</v>
      </c>
      <c r="W257" s="118"/>
      <c r="X257" s="118" t="s">
        <v>1154</v>
      </c>
      <c r="Y257" s="15">
        <v>154856077</v>
      </c>
      <c r="Z257" s="118" t="s">
        <v>70</v>
      </c>
      <c r="AA257" s="118"/>
      <c r="AB257" s="119" t="s">
        <v>976</v>
      </c>
      <c r="AC257" s="120"/>
      <c r="AD257" s="121">
        <v>901839790</v>
      </c>
      <c r="AE257" s="122" t="s">
        <v>977</v>
      </c>
      <c r="AF257" s="126"/>
      <c r="AG257" s="114"/>
      <c r="AH257" s="21"/>
      <c r="AI257" s="21"/>
      <c r="AJ257" s="21"/>
      <c r="AK257" s="118"/>
      <c r="AL257" s="118">
        <f>+Y257</f>
        <v>154856077</v>
      </c>
      <c r="AM257" s="123"/>
      <c r="AN257" s="123"/>
      <c r="AO257" s="123"/>
      <c r="AP257" s="123"/>
      <c r="AQ257" s="123"/>
      <c r="AR257" s="123"/>
      <c r="AS257" s="123"/>
      <c r="AT257" s="123"/>
      <c r="AU257" s="123"/>
      <c r="AV257" s="123"/>
      <c r="AW257" s="124"/>
      <c r="AX257" s="124"/>
      <c r="AY257" s="124">
        <f>+AL257</f>
        <v>154856077</v>
      </c>
      <c r="AZ257" s="124"/>
      <c r="BA257" s="21"/>
      <c r="BB257" s="21"/>
      <c r="BC257" s="21"/>
      <c r="BD257" s="21"/>
      <c r="BE257" s="21"/>
      <c r="BF257" s="21"/>
      <c r="BG257" s="21"/>
      <c r="BH257" s="21"/>
      <c r="BI257" s="21"/>
      <c r="BJ257" s="21"/>
    </row>
    <row r="258" spans="1:62" ht="14" x14ac:dyDescent="0.15">
      <c r="A258" s="17">
        <v>253</v>
      </c>
      <c r="B258" s="16" t="s">
        <v>1076</v>
      </c>
      <c r="C258" s="15">
        <v>88000000</v>
      </c>
      <c r="D258" s="112">
        <v>45653</v>
      </c>
      <c r="E258" s="21" t="s">
        <v>1077</v>
      </c>
      <c r="F258" s="15">
        <v>88000000</v>
      </c>
      <c r="G258" s="21"/>
      <c r="H258" s="15"/>
      <c r="I258" s="21" t="s">
        <v>889</v>
      </c>
      <c r="J258" s="21" t="s">
        <v>64</v>
      </c>
      <c r="K258" s="21" t="s">
        <v>1078</v>
      </c>
      <c r="L258" s="112">
        <v>45653</v>
      </c>
      <c r="M258" s="127">
        <v>1072</v>
      </c>
      <c r="N258" s="114">
        <v>45512</v>
      </c>
      <c r="O258" s="115" t="s">
        <v>830</v>
      </c>
      <c r="P258" s="115" t="s">
        <v>1079</v>
      </c>
      <c r="Q258" s="115"/>
      <c r="R258" s="116" t="s">
        <v>894</v>
      </c>
      <c r="S258" s="115" t="s">
        <v>69</v>
      </c>
      <c r="T258" s="120">
        <v>45656</v>
      </c>
      <c r="U258" s="117" t="s">
        <v>124</v>
      </c>
      <c r="V258" s="138">
        <v>88000000</v>
      </c>
      <c r="W258" s="118"/>
      <c r="X258" s="118" t="s">
        <v>1117</v>
      </c>
      <c r="Y258" s="118">
        <f>+V258</f>
        <v>88000000</v>
      </c>
      <c r="Z258" s="118" t="s">
        <v>70</v>
      </c>
      <c r="AA258" s="118"/>
      <c r="AB258" s="119" t="s">
        <v>895</v>
      </c>
      <c r="AC258" s="120">
        <v>45656</v>
      </c>
      <c r="AD258" s="121">
        <v>901793092</v>
      </c>
      <c r="AE258" s="122" t="s">
        <v>896</v>
      </c>
      <c r="AF258" s="126"/>
      <c r="AG258" s="114"/>
      <c r="AH258" s="21"/>
      <c r="AI258" s="21"/>
      <c r="AJ258" s="21"/>
      <c r="AK258" s="118"/>
      <c r="AL258" s="15">
        <f>+Y258</f>
        <v>88000000</v>
      </c>
      <c r="AM258" s="123"/>
      <c r="AN258" s="123"/>
      <c r="AO258" s="123"/>
      <c r="AP258" s="123"/>
      <c r="AQ258" s="134">
        <v>62468942.968305297</v>
      </c>
      <c r="AR258" s="144">
        <f>+AQ258*$AM$194</f>
        <v>20564776.025166102</v>
      </c>
      <c r="AS258" s="144">
        <f>+AQ258*$AN$194</f>
        <v>1249378.8593661059</v>
      </c>
      <c r="AT258" s="144">
        <f>+AQ258*$AO$194</f>
        <v>3123447.1484152651</v>
      </c>
      <c r="AU258" s="144">
        <f>+AT258*19%</f>
        <v>593454.95819890033</v>
      </c>
      <c r="AV258" s="123">
        <v>0.1</v>
      </c>
      <c r="AW258" s="124"/>
      <c r="AX258" s="124"/>
      <c r="AY258" s="124">
        <f>+AL258</f>
        <v>88000000</v>
      </c>
      <c r="AZ258" s="124"/>
      <c r="BA258" s="21"/>
      <c r="BB258" s="21"/>
      <c r="BC258" s="21"/>
      <c r="BD258" s="21"/>
      <c r="BE258" s="21"/>
      <c r="BF258" s="21"/>
      <c r="BG258" s="21"/>
      <c r="BH258" s="21"/>
      <c r="BI258" s="21"/>
      <c r="BJ258" s="21"/>
    </row>
    <row r="259" spans="1:62" ht="14" x14ac:dyDescent="0.15">
      <c r="A259" s="17">
        <v>254</v>
      </c>
      <c r="B259" s="16" t="s">
        <v>1080</v>
      </c>
      <c r="C259" s="15">
        <v>1100000000</v>
      </c>
      <c r="D259" s="112">
        <v>45664</v>
      </c>
      <c r="E259" s="21" t="s">
        <v>480</v>
      </c>
      <c r="F259" s="15">
        <v>1100000000</v>
      </c>
      <c r="G259" s="21"/>
      <c r="H259" s="15"/>
      <c r="I259" s="21" t="s">
        <v>489</v>
      </c>
      <c r="J259" s="21" t="s">
        <v>489</v>
      </c>
      <c r="K259" s="21"/>
      <c r="L259" s="112"/>
      <c r="M259" s="135">
        <v>188321</v>
      </c>
      <c r="N259" s="114"/>
      <c r="O259" s="115" t="s">
        <v>66</v>
      </c>
      <c r="P259" s="115" t="s">
        <v>767</v>
      </c>
      <c r="Q259" s="115" t="s">
        <v>112</v>
      </c>
      <c r="R259" s="116" t="s">
        <v>667</v>
      </c>
      <c r="S259" s="115" t="s">
        <v>69</v>
      </c>
      <c r="T259" s="117"/>
      <c r="U259" s="117"/>
      <c r="V259" s="15">
        <v>1100000000</v>
      </c>
      <c r="W259" s="118"/>
      <c r="X259" s="125" t="s">
        <v>1352</v>
      </c>
      <c r="Y259" s="118">
        <v>1100000000</v>
      </c>
      <c r="Z259" s="118" t="s">
        <v>70</v>
      </c>
      <c r="AA259" s="118"/>
      <c r="AB259" s="119" t="s">
        <v>668</v>
      </c>
      <c r="AC259" s="120"/>
      <c r="AD259" s="121">
        <v>901718288</v>
      </c>
      <c r="AE259" s="122" t="s">
        <v>1331</v>
      </c>
      <c r="AF259" s="126"/>
      <c r="AG259" s="114">
        <v>45893</v>
      </c>
      <c r="AH259" s="21"/>
      <c r="AI259" s="21" t="s">
        <v>683</v>
      </c>
      <c r="AJ259" s="21"/>
      <c r="AK259" s="118">
        <v>0</v>
      </c>
      <c r="AL259" s="118">
        <v>1100000000</v>
      </c>
      <c r="AM259" s="136"/>
      <c r="AN259" s="123"/>
      <c r="AO259" s="123"/>
      <c r="AP259" s="123"/>
      <c r="AQ259" s="123"/>
      <c r="AR259" s="123"/>
      <c r="AS259" s="123"/>
      <c r="AT259" s="123"/>
      <c r="AU259" s="123"/>
      <c r="AV259" s="123">
        <v>0.1</v>
      </c>
      <c r="AW259" s="124"/>
      <c r="AX259" s="124"/>
      <c r="AY259" s="124">
        <v>1100000000</v>
      </c>
      <c r="AZ259" s="124"/>
      <c r="BA259" s="21"/>
      <c r="BB259" s="21"/>
      <c r="BC259" s="21"/>
      <c r="BD259" s="21"/>
      <c r="BE259" s="21"/>
      <c r="BF259" s="21"/>
      <c r="BG259" s="21"/>
      <c r="BH259" s="21"/>
      <c r="BI259" s="21"/>
      <c r="BJ259" s="21"/>
    </row>
    <row r="260" spans="1:62" ht="14" x14ac:dyDescent="0.15">
      <c r="A260" s="17">
        <v>255</v>
      </c>
      <c r="B260" s="16" t="s">
        <v>1081</v>
      </c>
      <c r="C260" s="15">
        <v>67652413</v>
      </c>
      <c r="D260" s="112">
        <v>45664</v>
      </c>
      <c r="E260" s="21" t="s">
        <v>85</v>
      </c>
      <c r="F260" s="15">
        <v>67652413</v>
      </c>
      <c r="G260" s="21"/>
      <c r="H260" s="15"/>
      <c r="I260" s="21" t="s">
        <v>489</v>
      </c>
      <c r="J260" s="21" t="s">
        <v>489</v>
      </c>
      <c r="K260" s="21"/>
      <c r="L260" s="112"/>
      <c r="M260" s="135">
        <v>188321</v>
      </c>
      <c r="N260" s="114">
        <v>44550</v>
      </c>
      <c r="O260" s="115" t="s">
        <v>66</v>
      </c>
      <c r="P260" s="115" t="s">
        <v>767</v>
      </c>
      <c r="Q260" s="115"/>
      <c r="R260" s="116" t="s">
        <v>673</v>
      </c>
      <c r="S260" s="115" t="s">
        <v>69</v>
      </c>
      <c r="T260" s="117"/>
      <c r="U260" s="117"/>
      <c r="V260" s="118">
        <v>67652413</v>
      </c>
      <c r="W260" s="118"/>
      <c r="X260" s="125" t="s">
        <v>1352</v>
      </c>
      <c r="Y260" s="118">
        <v>67652413</v>
      </c>
      <c r="Z260" s="118" t="s">
        <v>70</v>
      </c>
      <c r="AA260" s="118"/>
      <c r="AB260" s="119" t="s">
        <v>674</v>
      </c>
      <c r="AC260" s="120"/>
      <c r="AD260" s="121">
        <v>901721196</v>
      </c>
      <c r="AE260" s="122" t="s">
        <v>1332</v>
      </c>
      <c r="AF260" s="126"/>
      <c r="AG260" s="114"/>
      <c r="AH260" s="21" t="s">
        <v>683</v>
      </c>
      <c r="AI260" s="21"/>
      <c r="AJ260" s="21"/>
      <c r="AK260" s="118">
        <v>0</v>
      </c>
      <c r="AL260" s="118">
        <v>67652413</v>
      </c>
      <c r="AM260" s="123"/>
      <c r="AN260" s="123"/>
      <c r="AO260" s="123"/>
      <c r="AP260" s="123"/>
      <c r="AQ260" s="123"/>
      <c r="AR260" s="123"/>
      <c r="AS260" s="123"/>
      <c r="AT260" s="123"/>
      <c r="AU260" s="123"/>
      <c r="AV260" s="123">
        <v>0.1</v>
      </c>
      <c r="AW260" s="124"/>
      <c r="AX260" s="124">
        <f>IF(AK260="","",ROUND(AL260/INT(LEFT(AH260,FIND("m",AH260)-1))*50%,0))</f>
        <v>16913103</v>
      </c>
      <c r="AY260" s="124">
        <f>IF(AK260="","",ROUND(AL260*40%,2))</f>
        <v>27060965.199999999</v>
      </c>
      <c r="AZ260" s="124">
        <f>IF(AK260="","",ROUND(AL260*10%,2))</f>
        <v>6765241.2999999998</v>
      </c>
      <c r="BA260" s="21"/>
      <c r="BB260" s="21"/>
      <c r="BC260" s="21"/>
      <c r="BD260" s="21"/>
      <c r="BE260" s="21"/>
      <c r="BF260" s="21"/>
      <c r="BG260" s="21"/>
      <c r="BH260" s="21"/>
      <c r="BI260" s="21"/>
      <c r="BJ260" s="21"/>
    </row>
    <row r="261" spans="1:62" ht="14" x14ac:dyDescent="0.15">
      <c r="A261" s="17">
        <v>256</v>
      </c>
      <c r="B261" s="16" t="s">
        <v>1082</v>
      </c>
      <c r="C261" s="15">
        <v>21275905</v>
      </c>
      <c r="D261" s="112">
        <v>45678</v>
      </c>
      <c r="E261" s="21" t="s">
        <v>723</v>
      </c>
      <c r="F261" s="15">
        <v>21275905</v>
      </c>
      <c r="G261" s="21"/>
      <c r="H261" s="15"/>
      <c r="I261" s="21" t="s">
        <v>282</v>
      </c>
      <c r="J261" s="21" t="s">
        <v>283</v>
      </c>
      <c r="K261" s="21" t="s">
        <v>1083</v>
      </c>
      <c r="L261" s="112">
        <v>45677</v>
      </c>
      <c r="M261" s="127">
        <v>2024100003</v>
      </c>
      <c r="N261" s="114">
        <v>45575</v>
      </c>
      <c r="O261" s="115" t="s">
        <v>830</v>
      </c>
      <c r="P261" s="115" t="s">
        <v>1084</v>
      </c>
      <c r="Q261" s="115"/>
      <c r="R261" s="116" t="s">
        <v>285</v>
      </c>
      <c r="S261" s="115" t="s">
        <v>69</v>
      </c>
      <c r="T261" s="117">
        <v>45678</v>
      </c>
      <c r="U261" s="117" t="s">
        <v>124</v>
      </c>
      <c r="V261" s="138">
        <v>21275905</v>
      </c>
      <c r="W261" s="118"/>
      <c r="X261" s="118" t="s">
        <v>1117</v>
      </c>
      <c r="Y261" s="15">
        <v>21275905</v>
      </c>
      <c r="Z261" s="118" t="s">
        <v>70</v>
      </c>
      <c r="AA261" s="118"/>
      <c r="AB261" s="119" t="s">
        <v>286</v>
      </c>
      <c r="AC261" s="120"/>
      <c r="AD261" s="121">
        <v>901580266</v>
      </c>
      <c r="AE261" s="122" t="s">
        <v>1283</v>
      </c>
      <c r="AF261" s="126">
        <v>45678</v>
      </c>
      <c r="AG261" s="114">
        <v>45743</v>
      </c>
      <c r="AH261" s="21"/>
      <c r="AI261" s="21"/>
      <c r="AJ261" s="21"/>
      <c r="AK261" s="118">
        <v>0</v>
      </c>
      <c r="AL261" s="118">
        <v>21275905</v>
      </c>
      <c r="AM261" s="123"/>
      <c r="AN261" s="123"/>
      <c r="AO261" s="123"/>
      <c r="AP261" s="123"/>
      <c r="AQ261" s="123"/>
      <c r="AR261" s="123"/>
      <c r="AS261" s="123"/>
      <c r="AT261" s="123"/>
      <c r="AU261" s="123"/>
      <c r="AV261" s="123"/>
      <c r="AW261" s="124"/>
      <c r="AX261" s="124">
        <f>+AL261</f>
        <v>21275905</v>
      </c>
      <c r="AY261" s="124">
        <f>+AL261*0</f>
        <v>0</v>
      </c>
      <c r="AZ261" s="124"/>
      <c r="BA261" s="21"/>
      <c r="BB261" s="21"/>
      <c r="BC261" s="21"/>
      <c r="BD261" s="21"/>
      <c r="BE261" s="21"/>
      <c r="BF261" s="21"/>
      <c r="BG261" s="21"/>
      <c r="BH261" s="21"/>
      <c r="BI261" s="21"/>
      <c r="BJ261" s="21"/>
    </row>
    <row r="262" spans="1:62" ht="14" x14ac:dyDescent="0.15">
      <c r="A262" s="17">
        <v>257</v>
      </c>
      <c r="B262" s="16" t="s">
        <v>1085</v>
      </c>
      <c r="C262" s="15">
        <v>49304786.270000003</v>
      </c>
      <c r="D262" s="112">
        <v>45702</v>
      </c>
      <c r="E262" s="21" t="s">
        <v>723</v>
      </c>
      <c r="F262" s="15">
        <v>49304786.270000003</v>
      </c>
      <c r="G262" s="21" t="s">
        <v>62</v>
      </c>
      <c r="H262" s="15"/>
      <c r="I262" s="21" t="s">
        <v>252</v>
      </c>
      <c r="J262" s="21" t="s">
        <v>253</v>
      </c>
      <c r="K262" s="21"/>
      <c r="L262" s="112">
        <v>45702</v>
      </c>
      <c r="M262" s="127"/>
      <c r="N262" s="114"/>
      <c r="O262" s="115" t="s">
        <v>725</v>
      </c>
      <c r="P262" s="115" t="s">
        <v>1086</v>
      </c>
      <c r="Q262" s="115"/>
      <c r="R262" s="116" t="s">
        <v>254</v>
      </c>
      <c r="S262" s="115" t="s">
        <v>69</v>
      </c>
      <c r="T262" s="117"/>
      <c r="U262" s="117" t="s">
        <v>124</v>
      </c>
      <c r="V262" s="138">
        <v>49304786.270000003</v>
      </c>
      <c r="W262" s="118"/>
      <c r="X262" s="118" t="s">
        <v>1117</v>
      </c>
      <c r="Y262" s="118">
        <v>49304786.270000003</v>
      </c>
      <c r="Z262" s="118" t="s">
        <v>70</v>
      </c>
      <c r="AA262" s="118"/>
      <c r="AB262" s="119" t="s">
        <v>255</v>
      </c>
      <c r="AC262" s="120"/>
      <c r="AD262" s="121">
        <v>901580243</v>
      </c>
      <c r="AE262" s="122" t="s">
        <v>1279</v>
      </c>
      <c r="AF262" s="126"/>
      <c r="AG262" s="114"/>
      <c r="AH262" s="21" t="s">
        <v>326</v>
      </c>
      <c r="AI262" s="21" t="s">
        <v>326</v>
      </c>
      <c r="AJ262" s="21"/>
      <c r="AK262" s="118">
        <v>0</v>
      </c>
      <c r="AL262" s="118">
        <v>49304786.270000003</v>
      </c>
      <c r="AM262" s="123"/>
      <c r="AN262" s="123"/>
      <c r="AO262" s="123"/>
      <c r="AP262" s="123"/>
      <c r="AQ262" s="123"/>
      <c r="AR262" s="123"/>
      <c r="AS262" s="123"/>
      <c r="AT262" s="123"/>
      <c r="AU262" s="123"/>
      <c r="AV262" s="123">
        <v>0.1</v>
      </c>
      <c r="AW262" s="124">
        <v>0</v>
      </c>
      <c r="AX262" s="124">
        <f>IF(AK262="","",ROUND(AL262/INT(LEFT(AH262,FIND("m",AH262)-1))*90%,0))</f>
        <v>44374308</v>
      </c>
      <c r="AY262" s="124">
        <v>0</v>
      </c>
      <c r="AZ262" s="124">
        <f>IF(AK262="","",ROUND(AL262*10%,2))</f>
        <v>4930478.63</v>
      </c>
      <c r="BA262" s="21"/>
      <c r="BB262" s="21"/>
      <c r="BC262" s="21"/>
      <c r="BD262" s="21"/>
      <c r="BE262" s="21"/>
      <c r="BF262" s="21"/>
      <c r="BG262" s="21"/>
      <c r="BH262" s="21"/>
      <c r="BI262" s="21"/>
      <c r="BJ262" s="21"/>
    </row>
    <row r="263" spans="1:62" ht="14" x14ac:dyDescent="0.15">
      <c r="A263" s="17">
        <v>258</v>
      </c>
      <c r="B263" s="16" t="s">
        <v>1087</v>
      </c>
      <c r="C263" s="15">
        <v>52978222</v>
      </c>
      <c r="D263" s="112">
        <v>45706</v>
      </c>
      <c r="E263" s="21" t="s">
        <v>723</v>
      </c>
      <c r="F263" s="15">
        <f>+C263</f>
        <v>52978222</v>
      </c>
      <c r="G263" s="21" t="s">
        <v>62</v>
      </c>
      <c r="H263" s="15">
        <f>C263-F263</f>
        <v>0</v>
      </c>
      <c r="I263" s="21" t="s">
        <v>94</v>
      </c>
      <c r="J263" s="21" t="s">
        <v>64</v>
      </c>
      <c r="K263" s="21"/>
      <c r="L263" s="112">
        <v>45706</v>
      </c>
      <c r="M263" s="156" t="s">
        <v>1088</v>
      </c>
      <c r="N263" s="114">
        <v>45688</v>
      </c>
      <c r="O263" s="122" t="s">
        <v>830</v>
      </c>
      <c r="P263" s="115" t="s">
        <v>1064</v>
      </c>
      <c r="Q263" s="115"/>
      <c r="R263" s="116" t="s">
        <v>95</v>
      </c>
      <c r="S263" s="115" t="s">
        <v>69</v>
      </c>
      <c r="T263" s="117"/>
      <c r="U263" s="117" t="s">
        <v>124</v>
      </c>
      <c r="V263" s="138">
        <v>52978222</v>
      </c>
      <c r="W263" s="118"/>
      <c r="X263" s="118" t="s">
        <v>1117</v>
      </c>
      <c r="Y263" s="118">
        <v>52978222</v>
      </c>
      <c r="Z263" s="118" t="s">
        <v>70</v>
      </c>
      <c r="AA263" s="118"/>
      <c r="AB263" s="116" t="s">
        <v>96</v>
      </c>
      <c r="AC263" s="120"/>
      <c r="AD263" s="121">
        <v>901575163</v>
      </c>
      <c r="AE263" s="122" t="s">
        <v>1263</v>
      </c>
      <c r="AF263" s="126"/>
      <c r="AG263" s="114"/>
      <c r="AH263" s="21" t="s">
        <v>326</v>
      </c>
      <c r="AI263" s="21"/>
      <c r="AJ263" s="21"/>
      <c r="AK263" s="118">
        <v>0</v>
      </c>
      <c r="AL263" s="118">
        <v>52978222</v>
      </c>
      <c r="AM263" s="123"/>
      <c r="AN263" s="123"/>
      <c r="AO263" s="123"/>
      <c r="AP263" s="123"/>
      <c r="AQ263" s="123"/>
      <c r="AR263" s="123"/>
      <c r="AS263" s="123"/>
      <c r="AT263" s="123"/>
      <c r="AU263" s="123"/>
      <c r="AV263" s="123">
        <v>0.1</v>
      </c>
      <c r="AW263" s="124">
        <v>0</v>
      </c>
      <c r="AX263" s="124">
        <v>0</v>
      </c>
      <c r="AY263" s="124">
        <v>52978222</v>
      </c>
      <c r="AZ263" s="124">
        <v>0</v>
      </c>
      <c r="BA263" s="21"/>
      <c r="BB263" s="21"/>
      <c r="BC263" s="21"/>
      <c r="BD263" s="21"/>
      <c r="BE263" s="21"/>
      <c r="BF263" s="21"/>
      <c r="BG263" s="21"/>
      <c r="BH263" s="21"/>
      <c r="BI263" s="21"/>
      <c r="BJ263" s="21"/>
    </row>
    <row r="264" spans="1:62" ht="14" x14ac:dyDescent="0.15">
      <c r="A264" s="17">
        <v>259</v>
      </c>
      <c r="B264" s="16" t="s">
        <v>1089</v>
      </c>
      <c r="C264" s="15">
        <v>52978222</v>
      </c>
      <c r="D264" s="112">
        <v>45720</v>
      </c>
      <c r="E264" s="21" t="s">
        <v>723</v>
      </c>
      <c r="F264" s="15">
        <f>+C264</f>
        <v>52978222</v>
      </c>
      <c r="G264" s="21"/>
      <c r="H264" s="15"/>
      <c r="I264" s="21" t="s">
        <v>94</v>
      </c>
      <c r="J264" s="21" t="s">
        <v>64</v>
      </c>
      <c r="K264" s="21"/>
      <c r="L264" s="112">
        <v>45720</v>
      </c>
      <c r="M264" s="156" t="s">
        <v>1088</v>
      </c>
      <c r="N264" s="114">
        <v>45688</v>
      </c>
      <c r="O264" s="122" t="s">
        <v>830</v>
      </c>
      <c r="P264" s="115" t="s">
        <v>1064</v>
      </c>
      <c r="Q264" s="115"/>
      <c r="R264" s="116" t="s">
        <v>95</v>
      </c>
      <c r="S264" s="115" t="s">
        <v>69</v>
      </c>
      <c r="T264" s="117"/>
      <c r="U264" s="117" t="s">
        <v>124</v>
      </c>
      <c r="V264" s="138">
        <v>52978222</v>
      </c>
      <c r="W264" s="118"/>
      <c r="X264" s="118" t="s">
        <v>1117</v>
      </c>
      <c r="Y264" s="15">
        <v>52978222</v>
      </c>
      <c r="Z264" s="118" t="s">
        <v>70</v>
      </c>
      <c r="AA264" s="118"/>
      <c r="AB264" s="116" t="s">
        <v>96</v>
      </c>
      <c r="AC264" s="120"/>
      <c r="AD264" s="121">
        <v>901575163</v>
      </c>
      <c r="AE264" s="122" t="s">
        <v>1263</v>
      </c>
      <c r="AF264" s="126"/>
      <c r="AG264" s="114"/>
      <c r="AH264" s="21" t="s">
        <v>326</v>
      </c>
      <c r="AI264" s="21"/>
      <c r="AJ264" s="21"/>
      <c r="AK264" s="118">
        <v>0</v>
      </c>
      <c r="AL264" s="118">
        <v>52978222</v>
      </c>
      <c r="AM264" s="123"/>
      <c r="AN264" s="123"/>
      <c r="AO264" s="123"/>
      <c r="AP264" s="123"/>
      <c r="AQ264" s="123"/>
      <c r="AR264" s="123"/>
      <c r="AS264" s="123"/>
      <c r="AT264" s="123"/>
      <c r="AU264" s="123"/>
      <c r="AV264" s="123">
        <v>0.1</v>
      </c>
      <c r="AW264" s="124">
        <v>0</v>
      </c>
      <c r="AX264" s="124">
        <v>0</v>
      </c>
      <c r="AY264" s="124">
        <v>52978222</v>
      </c>
      <c r="AZ264" s="124">
        <v>0</v>
      </c>
      <c r="BA264" s="21"/>
      <c r="BB264" s="21"/>
      <c r="BC264" s="21"/>
      <c r="BD264" s="21"/>
      <c r="BE264" s="21"/>
      <c r="BF264" s="21"/>
      <c r="BG264" s="21"/>
      <c r="BH264" s="21"/>
      <c r="BI264" s="21"/>
      <c r="BJ264" s="21"/>
    </row>
    <row r="265" spans="1:62" ht="15" customHeight="1" x14ac:dyDescent="0.15">
      <c r="A265" s="17">
        <v>260</v>
      </c>
      <c r="B265" s="16" t="s">
        <v>1090</v>
      </c>
      <c r="C265" s="15">
        <v>70000000</v>
      </c>
      <c r="D265" s="112">
        <v>45727</v>
      </c>
      <c r="E265" s="21" t="s">
        <v>723</v>
      </c>
      <c r="F265" s="15">
        <v>70000000</v>
      </c>
      <c r="G265" s="21" t="s">
        <v>62</v>
      </c>
      <c r="H265" s="15">
        <f>C265-F265</f>
        <v>0</v>
      </c>
      <c r="I265" s="21" t="s">
        <v>594</v>
      </c>
      <c r="J265" s="15" t="s">
        <v>172</v>
      </c>
      <c r="K265" s="21" t="s">
        <v>1091</v>
      </c>
      <c r="L265" s="112">
        <v>45727</v>
      </c>
      <c r="M265" s="127">
        <v>471</v>
      </c>
      <c r="N265" s="114">
        <v>45643</v>
      </c>
      <c r="O265" s="115" t="s">
        <v>830</v>
      </c>
      <c r="P265" s="115" t="s">
        <v>1092</v>
      </c>
      <c r="Q265" s="150" t="s">
        <v>1093</v>
      </c>
      <c r="R265" s="116" t="s">
        <v>741</v>
      </c>
      <c r="S265" s="115" t="s">
        <v>576</v>
      </c>
      <c r="T265" s="117"/>
      <c r="U265" s="117" t="s">
        <v>124</v>
      </c>
      <c r="V265" s="137">
        <v>70000000</v>
      </c>
      <c r="W265" s="118"/>
      <c r="X265" s="118" t="s">
        <v>1117</v>
      </c>
      <c r="Y265" s="118">
        <v>70000000</v>
      </c>
      <c r="Z265" s="118" t="s">
        <v>70</v>
      </c>
      <c r="AA265" s="118"/>
      <c r="AB265" s="119" t="s">
        <v>742</v>
      </c>
      <c r="AC265" s="120">
        <v>45728</v>
      </c>
      <c r="AD265" s="121">
        <v>901723732</v>
      </c>
      <c r="AE265" s="122" t="s">
        <v>1018</v>
      </c>
      <c r="AF265" s="126">
        <v>45728</v>
      </c>
      <c r="AG265" s="114"/>
      <c r="AH265" s="21" t="s">
        <v>1094</v>
      </c>
      <c r="AI265" s="21"/>
      <c r="AJ265" s="21"/>
      <c r="AK265" s="118"/>
      <c r="AL265" s="118">
        <f>V265-AK265</f>
        <v>70000000</v>
      </c>
      <c r="AM265" s="123"/>
      <c r="AN265" s="123"/>
      <c r="AO265" s="123"/>
      <c r="AP265" s="123"/>
      <c r="AQ265" s="123"/>
      <c r="AR265" s="123"/>
      <c r="AS265" s="123"/>
      <c r="AT265" s="123"/>
      <c r="AU265" s="123"/>
      <c r="AV265" s="123">
        <v>0.1</v>
      </c>
      <c r="AW265" s="124"/>
      <c r="AX265" s="124">
        <f>+AL265/2</f>
        <v>35000000</v>
      </c>
      <c r="AY265" s="124">
        <f>+AL265*0.4</f>
        <v>28000000</v>
      </c>
      <c r="AZ265" s="124">
        <f>+AL265*0.1</f>
        <v>7000000</v>
      </c>
      <c r="BA265" s="21"/>
      <c r="BB265" s="21"/>
      <c r="BC265" s="21"/>
      <c r="BD265" s="21"/>
      <c r="BE265" s="21"/>
      <c r="BF265" s="21"/>
      <c r="BG265" s="21"/>
      <c r="BH265" s="21"/>
      <c r="BI265" s="21"/>
      <c r="BJ265" s="21"/>
    </row>
    <row r="266" spans="1:62" ht="14" x14ac:dyDescent="0.15">
      <c r="A266" s="17">
        <v>261</v>
      </c>
      <c r="B266" s="16" t="s">
        <v>1095</v>
      </c>
      <c r="C266" s="15">
        <v>50215787</v>
      </c>
      <c r="D266" s="112">
        <v>45727</v>
      </c>
      <c r="E266" s="21" t="s">
        <v>723</v>
      </c>
      <c r="F266" s="15">
        <v>50215787</v>
      </c>
      <c r="G266" s="21" t="s">
        <v>62</v>
      </c>
      <c r="H266" s="15">
        <f>C266-F266</f>
        <v>0</v>
      </c>
      <c r="I266" s="21" t="s">
        <v>101</v>
      </c>
      <c r="J266" s="21" t="s">
        <v>102</v>
      </c>
      <c r="K266" s="21" t="s">
        <v>1091</v>
      </c>
      <c r="L266" s="112">
        <v>45727</v>
      </c>
      <c r="M266" s="127">
        <v>202500564</v>
      </c>
      <c r="N266" s="114">
        <v>45699</v>
      </c>
      <c r="O266" s="115" t="s">
        <v>830</v>
      </c>
      <c r="P266" s="115" t="s">
        <v>1011</v>
      </c>
      <c r="Q266" s="115" t="s">
        <v>1096</v>
      </c>
      <c r="R266" s="116" t="s">
        <v>103</v>
      </c>
      <c r="S266" s="115" t="s">
        <v>69</v>
      </c>
      <c r="T266" s="117">
        <v>45728</v>
      </c>
      <c r="U266" s="117" t="s">
        <v>124</v>
      </c>
      <c r="V266" s="137">
        <v>50215787</v>
      </c>
      <c r="W266" s="118"/>
      <c r="X266" s="118" t="s">
        <v>1117</v>
      </c>
      <c r="Y266" s="118">
        <v>50215787</v>
      </c>
      <c r="Z266" s="125" t="s">
        <v>104</v>
      </c>
      <c r="AA266" s="118"/>
      <c r="AB266" s="119" t="s">
        <v>105</v>
      </c>
      <c r="AC266" s="120">
        <v>45728</v>
      </c>
      <c r="AD266" s="121">
        <v>901575078</v>
      </c>
      <c r="AE266" s="122" t="s">
        <v>1264</v>
      </c>
      <c r="AF266" s="126"/>
      <c r="AG266" s="114"/>
      <c r="AH266" s="21" t="s">
        <v>1097</v>
      </c>
      <c r="AI266" s="21"/>
      <c r="AJ266" s="21"/>
      <c r="AK266" s="118">
        <v>0</v>
      </c>
      <c r="AL266" s="118">
        <f>IF(AK266="","",V266-AK266)</f>
        <v>50215787</v>
      </c>
      <c r="AM266" s="123"/>
      <c r="AN266" s="123"/>
      <c r="AO266" s="123"/>
      <c r="AP266" s="123"/>
      <c r="AQ266" s="123"/>
      <c r="AR266" s="123"/>
      <c r="AS266" s="123"/>
      <c r="AT266" s="123"/>
      <c r="AU266" s="123"/>
      <c r="AV266" s="123">
        <v>0.1</v>
      </c>
      <c r="AW266" s="124"/>
      <c r="AX266" s="124">
        <f>IF(AK266="","",ROUND(AL266/(129/30)*50%,0))</f>
        <v>5839045</v>
      </c>
      <c r="AY266" s="124">
        <f>IF(AK266="","",ROUND(AL266*40%,2))</f>
        <v>20086314.800000001</v>
      </c>
      <c r="AZ266" s="124">
        <f>IF(AK266="","",ROUND(AL266*10%,2))</f>
        <v>5021578.7</v>
      </c>
      <c r="BA266" s="21"/>
      <c r="BB266" s="21"/>
      <c r="BC266" s="21"/>
      <c r="BD266" s="21"/>
      <c r="BE266" s="21"/>
      <c r="BF266" s="21"/>
      <c r="BG266" s="21"/>
      <c r="BH266" s="21"/>
      <c r="BI266" s="21"/>
      <c r="BJ266" s="21"/>
    </row>
    <row r="267" spans="1:62" ht="14" x14ac:dyDescent="0.15">
      <c r="A267" s="17">
        <v>262</v>
      </c>
      <c r="B267" s="16" t="s">
        <v>1098</v>
      </c>
      <c r="C267" s="15">
        <v>165000000</v>
      </c>
      <c r="D267" s="112">
        <v>45735</v>
      </c>
      <c r="E267" s="21" t="s">
        <v>480</v>
      </c>
      <c r="F267" s="15">
        <v>165000000</v>
      </c>
      <c r="G267" s="21"/>
      <c r="H267" s="15"/>
      <c r="I267" s="21" t="s">
        <v>967</v>
      </c>
      <c r="J267" s="21" t="s">
        <v>295</v>
      </c>
      <c r="K267" s="21" t="s">
        <v>1099</v>
      </c>
      <c r="L267" s="112">
        <v>45735</v>
      </c>
      <c r="M267" s="127">
        <v>163222</v>
      </c>
      <c r="N267" s="114">
        <v>44907</v>
      </c>
      <c r="O267" s="115" t="s">
        <v>66</v>
      </c>
      <c r="P267" s="115" t="s">
        <v>767</v>
      </c>
      <c r="Q267" s="115" t="s">
        <v>947</v>
      </c>
      <c r="R267" s="116" t="s">
        <v>968</v>
      </c>
      <c r="S267" s="115" t="s">
        <v>69</v>
      </c>
      <c r="T267" s="117"/>
      <c r="U267" s="117"/>
      <c r="V267" s="118">
        <v>165000000</v>
      </c>
      <c r="W267" s="118"/>
      <c r="X267" s="118" t="s">
        <v>1154</v>
      </c>
      <c r="Y267" s="15">
        <v>165000000</v>
      </c>
      <c r="Z267" s="118" t="s">
        <v>70</v>
      </c>
      <c r="AA267" s="118"/>
      <c r="AB267" s="119" t="s">
        <v>969</v>
      </c>
      <c r="AC267" s="120"/>
      <c r="AD267" s="121">
        <v>901839983</v>
      </c>
      <c r="AE267" s="122" t="s">
        <v>1349</v>
      </c>
      <c r="AF267" s="126"/>
      <c r="AG267" s="114"/>
      <c r="AH267" s="21" t="s">
        <v>1074</v>
      </c>
      <c r="AI267" s="21"/>
      <c r="AJ267" s="21"/>
      <c r="AK267" s="118">
        <v>0</v>
      </c>
      <c r="AL267" s="118">
        <v>165000000</v>
      </c>
      <c r="AM267" s="123"/>
      <c r="AN267" s="123"/>
      <c r="AO267" s="123"/>
      <c r="AP267" s="123"/>
      <c r="AQ267" s="123"/>
      <c r="AR267" s="123"/>
      <c r="AS267" s="123"/>
      <c r="AT267" s="123"/>
      <c r="AU267" s="123"/>
      <c r="AV267" s="123">
        <v>0.1</v>
      </c>
      <c r="AW267" s="124"/>
      <c r="AX267" s="124"/>
      <c r="AY267" s="124">
        <f>+AL267</f>
        <v>165000000</v>
      </c>
      <c r="AZ267" s="124"/>
      <c r="BA267" s="21"/>
      <c r="BB267" s="21"/>
      <c r="BC267" s="21"/>
      <c r="BD267" s="21"/>
      <c r="BE267" s="21"/>
      <c r="BF267" s="21"/>
      <c r="BG267" s="21"/>
      <c r="BH267" s="21"/>
      <c r="BI267" s="21"/>
      <c r="BJ267" s="21"/>
    </row>
    <row r="268" spans="1:62" ht="14" x14ac:dyDescent="0.15">
      <c r="A268" s="17">
        <v>263</v>
      </c>
      <c r="B268" s="16" t="s">
        <v>1100</v>
      </c>
      <c r="C268" s="15">
        <v>335401500</v>
      </c>
      <c r="D268" s="112">
        <v>45755</v>
      </c>
      <c r="E268" s="21" t="s">
        <v>61</v>
      </c>
      <c r="F268" s="15">
        <f>C268</f>
        <v>335401500</v>
      </c>
      <c r="G268" s="21" t="s">
        <v>62</v>
      </c>
      <c r="H268" s="15">
        <f t="shared" ref="H268:H273" si="46">C268-F268</f>
        <v>0</v>
      </c>
      <c r="I268" s="21" t="s">
        <v>86</v>
      </c>
      <c r="J268" s="21" t="s">
        <v>87</v>
      </c>
      <c r="K268" s="21" t="s">
        <v>1101</v>
      </c>
      <c r="L268" s="112">
        <v>45755</v>
      </c>
      <c r="M268" s="127">
        <v>10822</v>
      </c>
      <c r="N268" s="114">
        <v>44567</v>
      </c>
      <c r="O268" s="115" t="s">
        <v>66</v>
      </c>
      <c r="P268" s="115" t="s">
        <v>767</v>
      </c>
      <c r="Q268" s="115" t="s">
        <v>947</v>
      </c>
      <c r="R268" s="116" t="s">
        <v>89</v>
      </c>
      <c r="S268" s="115" t="s">
        <v>69</v>
      </c>
      <c r="T268" s="120"/>
      <c r="U268" s="117"/>
      <c r="V268" s="118">
        <v>335401500</v>
      </c>
      <c r="W268" s="118"/>
      <c r="X268" s="125" t="s">
        <v>1352</v>
      </c>
      <c r="Y268" s="118">
        <v>335401500</v>
      </c>
      <c r="Z268" s="118" t="s">
        <v>70</v>
      </c>
      <c r="AA268" s="118"/>
      <c r="AB268" s="119" t="s">
        <v>90</v>
      </c>
      <c r="AC268" s="120"/>
      <c r="AD268" s="121">
        <v>901574691</v>
      </c>
      <c r="AE268" s="122" t="s">
        <v>1262</v>
      </c>
      <c r="AF268" s="126"/>
      <c r="AG268" s="114"/>
      <c r="AH268" s="21" t="s">
        <v>326</v>
      </c>
      <c r="AI268" s="21"/>
      <c r="AJ268" s="21"/>
      <c r="AK268" s="118">
        <v>0</v>
      </c>
      <c r="AL268" s="118">
        <f>+V268</f>
        <v>335401500</v>
      </c>
      <c r="AM268" s="123"/>
      <c r="AN268" s="123"/>
      <c r="AO268" s="123"/>
      <c r="AP268" s="123"/>
      <c r="AQ268" s="123"/>
      <c r="AR268" s="123"/>
      <c r="AS268" s="123"/>
      <c r="AT268" s="123"/>
      <c r="AU268" s="123"/>
      <c r="AV268" s="123">
        <v>0.1</v>
      </c>
      <c r="AW268" s="124">
        <v>0</v>
      </c>
      <c r="AX268" s="124">
        <f>IF(AK268="","",ROUND(AL268/INT(LEFT(AH268,FIND("m",AH268)-1))*50%,2))</f>
        <v>167700750</v>
      </c>
      <c r="AY268" s="124">
        <f>IF(AK268="","",ROUND(AL268*40%,2))</f>
        <v>134160600</v>
      </c>
      <c r="AZ268" s="124">
        <f>IF(AK268="","",ROUND(AL268*10%,2))</f>
        <v>33540150</v>
      </c>
      <c r="BA268" s="21"/>
      <c r="BB268" s="21"/>
      <c r="BC268" s="21"/>
      <c r="BD268" s="21"/>
      <c r="BE268" s="21"/>
      <c r="BF268" s="21"/>
      <c r="BG268" s="21"/>
      <c r="BH268" s="21"/>
      <c r="BI268" s="21"/>
      <c r="BJ268" s="21"/>
    </row>
    <row r="269" spans="1:62" ht="14" x14ac:dyDescent="0.15">
      <c r="A269" s="17">
        <v>264</v>
      </c>
      <c r="B269" s="16" t="s">
        <v>1102</v>
      </c>
      <c r="C269" s="15">
        <v>52978222</v>
      </c>
      <c r="D269" s="112">
        <v>45762</v>
      </c>
      <c r="E269" s="21" t="s">
        <v>61</v>
      </c>
      <c r="F269" s="15">
        <v>52978222</v>
      </c>
      <c r="G269" s="21" t="s">
        <v>62</v>
      </c>
      <c r="H269" s="15">
        <f t="shared" si="46"/>
        <v>0</v>
      </c>
      <c r="I269" s="21" t="s">
        <v>94</v>
      </c>
      <c r="J269" s="21" t="s">
        <v>64</v>
      </c>
      <c r="K269" s="21" t="s">
        <v>1103</v>
      </c>
      <c r="L269" s="112">
        <v>45761</v>
      </c>
      <c r="M269" s="157">
        <v>188321</v>
      </c>
      <c r="N269" s="114">
        <v>44550</v>
      </c>
      <c r="O269" s="115" t="s">
        <v>66</v>
      </c>
      <c r="P269" s="115" t="s">
        <v>767</v>
      </c>
      <c r="Q269" s="115" t="s">
        <v>947</v>
      </c>
      <c r="R269" s="116" t="s">
        <v>95</v>
      </c>
      <c r="S269" s="115" t="s">
        <v>69</v>
      </c>
      <c r="T269" s="117"/>
      <c r="U269" s="117"/>
      <c r="V269" s="118">
        <v>52978222</v>
      </c>
      <c r="W269" s="118"/>
      <c r="X269" s="125" t="s">
        <v>1352</v>
      </c>
      <c r="Y269" s="118">
        <v>52978222</v>
      </c>
      <c r="Z269" s="118" t="s">
        <v>70</v>
      </c>
      <c r="AA269" s="118"/>
      <c r="AB269" s="116" t="s">
        <v>96</v>
      </c>
      <c r="AC269" s="120"/>
      <c r="AD269" s="121">
        <v>901575163</v>
      </c>
      <c r="AE269" s="122" t="s">
        <v>1263</v>
      </c>
      <c r="AF269" s="126"/>
      <c r="AG269" s="114"/>
      <c r="AH269" s="21" t="s">
        <v>326</v>
      </c>
      <c r="AI269" s="21"/>
      <c r="AJ269" s="21"/>
      <c r="AK269" s="118">
        <v>0</v>
      </c>
      <c r="AL269" s="118">
        <v>52978222</v>
      </c>
      <c r="AM269" s="123"/>
      <c r="AN269" s="123"/>
      <c r="AO269" s="123"/>
      <c r="AP269" s="123"/>
      <c r="AQ269" s="123"/>
      <c r="AR269" s="123"/>
      <c r="AS269" s="123"/>
      <c r="AT269" s="123"/>
      <c r="AU269" s="123"/>
      <c r="AV269" s="123">
        <v>0.1</v>
      </c>
      <c r="AW269" s="124">
        <v>0</v>
      </c>
      <c r="AX269" s="124">
        <v>0</v>
      </c>
      <c r="AY269" s="124">
        <f>IF(AK269="","",ROUND(AL269*90%,2))</f>
        <v>47680399.799999997</v>
      </c>
      <c r="AZ269" s="124">
        <f>IF(AK269="","",ROUND(AL269*10%,2))</f>
        <v>5297822.2</v>
      </c>
      <c r="BA269" s="21"/>
      <c r="BB269" s="21"/>
      <c r="BC269" s="21"/>
      <c r="BD269" s="21"/>
      <c r="BE269" s="21"/>
      <c r="BF269" s="21"/>
      <c r="BG269" s="21"/>
      <c r="BH269" s="21"/>
      <c r="BI269" s="21"/>
      <c r="BJ269" s="21"/>
    </row>
    <row r="270" spans="1:62" ht="15" customHeight="1" x14ac:dyDescent="0.15">
      <c r="A270" s="17">
        <v>265</v>
      </c>
      <c r="B270" s="16" t="s">
        <v>1104</v>
      </c>
      <c r="C270" s="15">
        <v>70000000</v>
      </c>
      <c r="D270" s="112">
        <v>45768</v>
      </c>
      <c r="E270" s="21" t="s">
        <v>723</v>
      </c>
      <c r="F270" s="15">
        <v>70000000</v>
      </c>
      <c r="G270" s="21" t="s">
        <v>62</v>
      </c>
      <c r="H270" s="15">
        <f t="shared" si="46"/>
        <v>0</v>
      </c>
      <c r="I270" s="21" t="s">
        <v>594</v>
      </c>
      <c r="J270" s="15" t="s">
        <v>172</v>
      </c>
      <c r="K270" s="158" t="s">
        <v>1105</v>
      </c>
      <c r="L270" s="112">
        <v>45768</v>
      </c>
      <c r="M270" s="127">
        <v>471</v>
      </c>
      <c r="N270" s="114">
        <v>45643</v>
      </c>
      <c r="O270" s="115" t="s">
        <v>830</v>
      </c>
      <c r="P270" s="115" t="s">
        <v>1092</v>
      </c>
      <c r="Q270" s="150" t="s">
        <v>1093</v>
      </c>
      <c r="R270" s="116" t="s">
        <v>741</v>
      </c>
      <c r="S270" s="115" t="s">
        <v>576</v>
      </c>
      <c r="T270" s="117"/>
      <c r="U270" s="117" t="s">
        <v>124</v>
      </c>
      <c r="V270" s="137">
        <v>70000000</v>
      </c>
      <c r="W270" s="118"/>
      <c r="X270" s="118" t="s">
        <v>1117</v>
      </c>
      <c r="Y270" s="118">
        <v>70000000</v>
      </c>
      <c r="Z270" s="118" t="s">
        <v>70</v>
      </c>
      <c r="AA270" s="118"/>
      <c r="AB270" s="119" t="s">
        <v>742</v>
      </c>
      <c r="AC270" s="120"/>
      <c r="AD270" s="121">
        <v>901723732</v>
      </c>
      <c r="AE270" s="122" t="s">
        <v>1018</v>
      </c>
      <c r="AF270" s="126"/>
      <c r="AG270" s="114"/>
      <c r="AH270" s="21" t="s">
        <v>1094</v>
      </c>
      <c r="AI270" s="21"/>
      <c r="AJ270" s="21"/>
      <c r="AK270" s="118"/>
      <c r="AL270" s="118">
        <v>70000000</v>
      </c>
      <c r="AM270" s="123"/>
      <c r="AN270" s="123"/>
      <c r="AO270" s="123"/>
      <c r="AP270" s="123"/>
      <c r="AQ270" s="123"/>
      <c r="AR270" s="123"/>
      <c r="AS270" s="123"/>
      <c r="AT270" s="123"/>
      <c r="AU270" s="123"/>
      <c r="AV270" s="123">
        <v>0.1</v>
      </c>
      <c r="AW270" s="124"/>
      <c r="AX270" s="124">
        <v>35000000</v>
      </c>
      <c r="AY270" s="124">
        <v>28000000</v>
      </c>
      <c r="AZ270" s="124">
        <v>7000000</v>
      </c>
      <c r="BA270" s="21"/>
      <c r="BB270" s="21"/>
      <c r="BC270" s="21"/>
      <c r="BD270" s="21"/>
      <c r="BE270" s="21"/>
      <c r="BF270" s="21"/>
      <c r="BG270" s="21"/>
      <c r="BH270" s="21"/>
      <c r="BI270" s="21"/>
      <c r="BJ270" s="21"/>
    </row>
    <row r="271" spans="1:62" ht="14" x14ac:dyDescent="0.15">
      <c r="A271" s="17">
        <v>266</v>
      </c>
      <c r="B271" s="16" t="s">
        <v>1106</v>
      </c>
      <c r="C271" s="15">
        <v>104216707</v>
      </c>
      <c r="D271" s="112">
        <v>45841</v>
      </c>
      <c r="E271" s="21" t="s">
        <v>61</v>
      </c>
      <c r="F271" s="15">
        <v>104216707</v>
      </c>
      <c r="G271" s="21" t="s">
        <v>62</v>
      </c>
      <c r="H271" s="15">
        <f t="shared" si="46"/>
        <v>0</v>
      </c>
      <c r="I271" s="21" t="s">
        <v>208</v>
      </c>
      <c r="J271" s="21" t="s">
        <v>141</v>
      </c>
      <c r="K271" s="21" t="s">
        <v>1107</v>
      </c>
      <c r="L271" s="112">
        <v>45841</v>
      </c>
      <c r="M271" s="127">
        <v>176921</v>
      </c>
      <c r="N271" s="114">
        <v>44477</v>
      </c>
      <c r="O271" s="115" t="s">
        <v>66</v>
      </c>
      <c r="P271" s="115" t="s">
        <v>767</v>
      </c>
      <c r="Q271" s="115"/>
      <c r="R271" s="116" t="s">
        <v>324</v>
      </c>
      <c r="S271" s="115" t="s">
        <v>69</v>
      </c>
      <c r="T271" s="117"/>
      <c r="U271" s="117"/>
      <c r="V271" s="118">
        <v>104216707</v>
      </c>
      <c r="W271" s="118"/>
      <c r="X271" s="125" t="s">
        <v>1154</v>
      </c>
      <c r="Y271" s="118">
        <v>104216707</v>
      </c>
      <c r="Z271" s="118" t="s">
        <v>70</v>
      </c>
      <c r="AA271" s="118"/>
      <c r="AB271" s="119" t="s">
        <v>325</v>
      </c>
      <c r="AC271" s="120">
        <v>44658</v>
      </c>
      <c r="AD271" s="121">
        <v>901581462</v>
      </c>
      <c r="AE271" s="122" t="s">
        <v>1192</v>
      </c>
      <c r="AF271" s="126"/>
      <c r="AG271" s="114"/>
      <c r="AH271" s="21" t="s">
        <v>326</v>
      </c>
      <c r="AI271" s="21"/>
      <c r="AJ271" s="21"/>
      <c r="AK271" s="118">
        <v>0</v>
      </c>
      <c r="AL271" s="118">
        <v>104216707</v>
      </c>
      <c r="AM271" s="123"/>
      <c r="AN271" s="123"/>
      <c r="AO271" s="123"/>
      <c r="AP271" s="123"/>
      <c r="AQ271" s="123"/>
      <c r="AR271" s="123"/>
      <c r="AS271" s="123"/>
      <c r="AT271" s="123"/>
      <c r="AU271" s="123"/>
      <c r="AV271" s="123">
        <v>0.1</v>
      </c>
      <c r="AW271" s="124">
        <f>IF(AK271="","",AK271)</f>
        <v>0</v>
      </c>
      <c r="AX271" s="124">
        <f>IF(AK271="","",ROUND(AL271/INT(LEFT(AH271,FIND("m",AH271)-1))*50%,0))</f>
        <v>52108354</v>
      </c>
      <c r="AY271" s="124">
        <f>IF(AK271="","",ROUND(AL271*40%,2))</f>
        <v>41686682.799999997</v>
      </c>
      <c r="AZ271" s="124">
        <f>IF(AK271="","",ROUND(AL271*10%,2))</f>
        <v>10421670.699999999</v>
      </c>
      <c r="BA271" s="21"/>
      <c r="BB271" s="21"/>
      <c r="BC271" s="21"/>
      <c r="BD271" s="21"/>
      <c r="BE271" s="21"/>
      <c r="BF271" s="21"/>
      <c r="BG271" s="21"/>
      <c r="BH271" s="21"/>
      <c r="BI271" s="21"/>
      <c r="BJ271" s="21"/>
    </row>
    <row r="272" spans="1:62" ht="14" x14ac:dyDescent="0.15">
      <c r="A272" s="17">
        <v>267</v>
      </c>
      <c r="B272" s="16" t="s">
        <v>1108</v>
      </c>
      <c r="C272" s="15">
        <v>281537052</v>
      </c>
      <c r="D272" s="112">
        <v>45856</v>
      </c>
      <c r="E272" s="21" t="s">
        <v>480</v>
      </c>
      <c r="F272" s="15">
        <v>281537052</v>
      </c>
      <c r="G272" s="21" t="s">
        <v>62</v>
      </c>
      <c r="H272" s="15">
        <f t="shared" si="46"/>
        <v>0</v>
      </c>
      <c r="I272" s="21" t="s">
        <v>489</v>
      </c>
      <c r="J272" s="21" t="s">
        <v>489</v>
      </c>
      <c r="K272" s="21"/>
      <c r="L272" s="112">
        <v>45855</v>
      </c>
      <c r="M272" s="135">
        <v>10822</v>
      </c>
      <c r="N272" s="114">
        <v>44567</v>
      </c>
      <c r="O272" s="115" t="s">
        <v>66</v>
      </c>
      <c r="P272" s="115" t="s">
        <v>767</v>
      </c>
      <c r="Q272" s="115" t="s">
        <v>947</v>
      </c>
      <c r="R272" s="116" t="s">
        <v>667</v>
      </c>
      <c r="S272" s="115" t="s">
        <v>69</v>
      </c>
      <c r="T272" s="117"/>
      <c r="U272" s="117"/>
      <c r="V272" s="15">
        <v>281537052</v>
      </c>
      <c r="W272" s="118"/>
      <c r="X272" s="125" t="s">
        <v>1352</v>
      </c>
      <c r="Y272" s="118">
        <v>281537052</v>
      </c>
      <c r="Z272" s="118" t="s">
        <v>70</v>
      </c>
      <c r="AA272" s="118"/>
      <c r="AB272" s="119" t="s">
        <v>668</v>
      </c>
      <c r="AC272" s="120"/>
      <c r="AD272" s="121">
        <v>901718288</v>
      </c>
      <c r="AE272" s="122" t="s">
        <v>1331</v>
      </c>
      <c r="AF272" s="126"/>
      <c r="AG272" s="114"/>
      <c r="AH272" s="21"/>
      <c r="AI272" s="21" t="s">
        <v>326</v>
      </c>
      <c r="AJ272" s="21"/>
      <c r="AK272" s="118">
        <v>0</v>
      </c>
      <c r="AL272" s="118">
        <v>281537052</v>
      </c>
      <c r="AM272" s="136"/>
      <c r="AN272" s="123"/>
      <c r="AO272" s="123"/>
      <c r="AP272" s="123"/>
      <c r="AQ272" s="123"/>
      <c r="AR272" s="123"/>
      <c r="AS272" s="123"/>
      <c r="AT272" s="123"/>
      <c r="AU272" s="123"/>
      <c r="AV272" s="123">
        <v>0.1</v>
      </c>
      <c r="AW272" s="124"/>
      <c r="AX272" s="124"/>
      <c r="AY272" s="124">
        <v>281537052</v>
      </c>
      <c r="AZ272" s="124"/>
      <c r="BA272" s="21"/>
      <c r="BB272" s="21"/>
      <c r="BC272" s="21"/>
      <c r="BD272" s="21"/>
      <c r="BE272" s="21"/>
      <c r="BF272" s="21"/>
      <c r="BG272" s="21"/>
      <c r="BH272" s="21"/>
      <c r="BI272" s="21"/>
      <c r="BJ272" s="21"/>
    </row>
    <row r="273" spans="1:62" ht="14" x14ac:dyDescent="0.15">
      <c r="A273" s="17">
        <v>268</v>
      </c>
      <c r="B273" s="16" t="s">
        <v>1109</v>
      </c>
      <c r="C273" s="15">
        <v>44031661</v>
      </c>
      <c r="D273" s="112">
        <v>45856</v>
      </c>
      <c r="E273" s="21" t="s">
        <v>85</v>
      </c>
      <c r="F273" s="15">
        <v>44031661</v>
      </c>
      <c r="G273" s="21" t="s">
        <v>62</v>
      </c>
      <c r="H273" s="15">
        <f t="shared" si="46"/>
        <v>0</v>
      </c>
      <c r="I273" s="21" t="s">
        <v>489</v>
      </c>
      <c r="J273" s="21" t="s">
        <v>489</v>
      </c>
      <c r="K273" s="21"/>
      <c r="L273" s="112">
        <v>45855</v>
      </c>
      <c r="M273" s="135">
        <v>10822</v>
      </c>
      <c r="N273" s="114">
        <v>44567</v>
      </c>
      <c r="O273" s="115" t="s">
        <v>66</v>
      </c>
      <c r="P273" s="115" t="s">
        <v>767</v>
      </c>
      <c r="Q273" s="115" t="s">
        <v>947</v>
      </c>
      <c r="R273" s="116" t="s">
        <v>673</v>
      </c>
      <c r="S273" s="115" t="s">
        <v>69</v>
      </c>
      <c r="T273" s="117"/>
      <c r="U273" s="117"/>
      <c r="V273" s="118">
        <v>44031661</v>
      </c>
      <c r="W273" s="118"/>
      <c r="X273" s="125" t="s">
        <v>1352</v>
      </c>
      <c r="Y273" s="118">
        <v>44031661</v>
      </c>
      <c r="Z273" s="118" t="s">
        <v>70</v>
      </c>
      <c r="AA273" s="118"/>
      <c r="AB273" s="119" t="s">
        <v>674</v>
      </c>
      <c r="AC273" s="120"/>
      <c r="AD273" s="121">
        <v>901721196</v>
      </c>
      <c r="AE273" s="122" t="s">
        <v>1332</v>
      </c>
      <c r="AF273" s="126"/>
      <c r="AG273" s="114"/>
      <c r="AH273" s="21" t="s">
        <v>326</v>
      </c>
      <c r="AI273" s="21"/>
      <c r="AJ273" s="21"/>
      <c r="AK273" s="118">
        <v>0</v>
      </c>
      <c r="AL273" s="118">
        <f>+Y273</f>
        <v>44031661</v>
      </c>
      <c r="AM273" s="123"/>
      <c r="AN273" s="123"/>
      <c r="AO273" s="123"/>
      <c r="AP273" s="123"/>
      <c r="AQ273" s="123"/>
      <c r="AR273" s="123"/>
      <c r="AS273" s="123"/>
      <c r="AT273" s="123"/>
      <c r="AU273" s="123"/>
      <c r="AV273" s="123">
        <v>0.1</v>
      </c>
      <c r="AW273" s="124"/>
      <c r="AX273" s="124">
        <f>IF(AK273="","",ROUND(AL273/INT(LEFT(AH273,FIND("m",AH273)-1))*50%,0))</f>
        <v>22015831</v>
      </c>
      <c r="AY273" s="124">
        <f>IF(AK273="","",ROUND(AL273*40%,2))</f>
        <v>17612664.399999999</v>
      </c>
      <c r="AZ273" s="124">
        <f>IF(AK273="","",ROUND(AL273*10%,2))</f>
        <v>4403166.0999999996</v>
      </c>
      <c r="BA273" s="21"/>
      <c r="BB273" s="21"/>
      <c r="BC273" s="21"/>
      <c r="BD273" s="21"/>
      <c r="BE273" s="21"/>
      <c r="BF273" s="21"/>
      <c r="BG273" s="21"/>
      <c r="BH273" s="21"/>
      <c r="BI273" s="21"/>
      <c r="BJ273" s="21"/>
    </row>
    <row r="274" spans="1:62" ht="14" x14ac:dyDescent="0.15">
      <c r="A274" s="17">
        <v>269</v>
      </c>
      <c r="B274" s="16" t="s">
        <v>1110</v>
      </c>
      <c r="C274" s="15">
        <v>509504734</v>
      </c>
      <c r="D274" s="112">
        <v>45874</v>
      </c>
      <c r="E274" s="21" t="s">
        <v>480</v>
      </c>
      <c r="F274" s="15">
        <v>509504734</v>
      </c>
      <c r="G274" s="21" t="s">
        <v>62</v>
      </c>
      <c r="H274" s="15">
        <f>C274-F274</f>
        <v>0</v>
      </c>
      <c r="I274" s="21" t="s">
        <v>489</v>
      </c>
      <c r="J274" s="21" t="s">
        <v>489</v>
      </c>
      <c r="K274" s="21"/>
      <c r="L274" s="112">
        <v>45873</v>
      </c>
      <c r="M274" s="127">
        <v>9822</v>
      </c>
      <c r="N274" s="114">
        <v>44567</v>
      </c>
      <c r="O274" s="115" t="s">
        <v>66</v>
      </c>
      <c r="P274" s="115" t="s">
        <v>767</v>
      </c>
      <c r="Q274" s="115" t="s">
        <v>947</v>
      </c>
      <c r="R274" s="116" t="s">
        <v>1111</v>
      </c>
      <c r="S274" s="159"/>
      <c r="T274" s="117"/>
      <c r="U274" s="117"/>
      <c r="V274" s="118">
        <v>509504734</v>
      </c>
      <c r="W274" s="118"/>
      <c r="X274" s="125" t="s">
        <v>1154</v>
      </c>
      <c r="Y274" s="118"/>
      <c r="Z274" s="118" t="s">
        <v>70</v>
      </c>
      <c r="AA274" s="118"/>
      <c r="AB274" s="119"/>
      <c r="AC274" s="120"/>
      <c r="AD274" s="121"/>
      <c r="AE274" s="122" t="s">
        <v>1159</v>
      </c>
      <c r="AF274" s="126"/>
      <c r="AG274" s="114"/>
      <c r="AH274" s="21"/>
      <c r="AI274" s="21"/>
      <c r="AJ274" s="21"/>
      <c r="AK274" s="118"/>
      <c r="AL274" s="118"/>
      <c r="AM274" s="123"/>
      <c r="AN274" s="123"/>
      <c r="AO274" s="123"/>
      <c r="AP274" s="123"/>
      <c r="AQ274" s="123"/>
      <c r="AR274" s="123"/>
      <c r="AS274" s="123"/>
      <c r="AT274" s="123"/>
      <c r="AU274" s="123"/>
      <c r="AV274" s="123"/>
      <c r="AW274" s="124"/>
      <c r="AX274" s="124"/>
      <c r="AY274" s="124"/>
      <c r="AZ274" s="124"/>
      <c r="BA274" s="21"/>
      <c r="BB274" s="21"/>
      <c r="BC274" s="21"/>
      <c r="BD274" s="21"/>
      <c r="BE274" s="21"/>
      <c r="BF274" s="21"/>
      <c r="BG274" s="21"/>
      <c r="BH274" s="21"/>
      <c r="BI274" s="21"/>
      <c r="BJ274" s="21"/>
    </row>
    <row r="275" spans="1:62" ht="14" x14ac:dyDescent="0.15">
      <c r="A275" s="17">
        <v>270</v>
      </c>
      <c r="B275" s="16" t="s">
        <v>1112</v>
      </c>
      <c r="C275" s="15">
        <v>64091946</v>
      </c>
      <c r="D275" s="112">
        <v>45896</v>
      </c>
      <c r="E275" s="21" t="s">
        <v>61</v>
      </c>
      <c r="F275" s="15">
        <v>64091946</v>
      </c>
      <c r="G275" s="21" t="s">
        <v>62</v>
      </c>
      <c r="H275" s="15">
        <f>C275-F275</f>
        <v>0</v>
      </c>
      <c r="I275" s="21" t="s">
        <v>470</v>
      </c>
      <c r="J275" s="21" t="s">
        <v>87</v>
      </c>
      <c r="K275" s="21" t="s">
        <v>1113</v>
      </c>
      <c r="L275" s="112">
        <v>45896</v>
      </c>
      <c r="M275" s="113">
        <v>188321</v>
      </c>
      <c r="N275" s="114">
        <v>44550</v>
      </c>
      <c r="O275" s="115" t="s">
        <v>66</v>
      </c>
      <c r="P275" s="115" t="s">
        <v>767</v>
      </c>
      <c r="Q275" s="115" t="s">
        <v>947</v>
      </c>
      <c r="R275" s="116" t="s">
        <v>471</v>
      </c>
      <c r="S275" s="115" t="s">
        <v>69</v>
      </c>
      <c r="T275" s="117"/>
      <c r="U275" s="117"/>
      <c r="V275" s="118">
        <v>64091946</v>
      </c>
      <c r="W275" s="118"/>
      <c r="X275" s="125" t="s">
        <v>1352</v>
      </c>
      <c r="Y275" s="116">
        <v>64091946</v>
      </c>
      <c r="Z275" s="118" t="s">
        <v>70</v>
      </c>
      <c r="AA275" s="118"/>
      <c r="AB275" s="119" t="s">
        <v>472</v>
      </c>
      <c r="AC275" s="120"/>
      <c r="AD275" s="121">
        <v>900021482</v>
      </c>
      <c r="AE275" s="122" t="s">
        <v>1306</v>
      </c>
      <c r="AF275" s="126"/>
      <c r="AG275" s="114"/>
      <c r="AH275" s="21" t="s">
        <v>326</v>
      </c>
      <c r="AI275" s="21"/>
      <c r="AJ275" s="21"/>
      <c r="AK275" s="118">
        <v>0</v>
      </c>
      <c r="AL275" s="118">
        <v>64091946</v>
      </c>
      <c r="AM275" s="123"/>
      <c r="AN275" s="123"/>
      <c r="AO275" s="123"/>
      <c r="AP275" s="123"/>
      <c r="AQ275" s="123"/>
      <c r="AR275" s="123"/>
      <c r="AS275" s="123"/>
      <c r="AT275" s="123"/>
      <c r="AU275" s="123"/>
      <c r="AV275" s="123"/>
      <c r="AW275" s="124">
        <v>0</v>
      </c>
      <c r="AX275" s="124">
        <f>IF(AK275="","",ROUND(AL275/INT(LEFT(AH275,FIND("m",AH275)-1))*100%,2))</f>
        <v>64091946</v>
      </c>
      <c r="AY275" s="124">
        <v>0</v>
      </c>
      <c r="AZ275" s="124">
        <v>0</v>
      </c>
      <c r="BA275" s="21"/>
      <c r="BB275" s="21"/>
      <c r="BC275" s="21"/>
      <c r="BD275" s="21"/>
      <c r="BE275" s="21"/>
      <c r="BF275" s="21"/>
      <c r="BG275" s="21"/>
      <c r="BH275" s="21"/>
      <c r="BI275" s="21"/>
      <c r="BJ275" s="21"/>
    </row>
    <row r="276" spans="1:62" ht="14" x14ac:dyDescent="0.15">
      <c r="A276" s="17">
        <v>271</v>
      </c>
      <c r="B276" s="16" t="s">
        <v>1114</v>
      </c>
      <c r="C276" s="15">
        <v>42367348.93</v>
      </c>
      <c r="D276" s="112">
        <v>45896</v>
      </c>
      <c r="E276" s="21" t="s">
        <v>723</v>
      </c>
      <c r="F276" s="15">
        <v>42367348.93</v>
      </c>
      <c r="G276" s="21" t="s">
        <v>62</v>
      </c>
      <c r="H276" s="15">
        <f>C276-F276</f>
        <v>0</v>
      </c>
      <c r="I276" s="21" t="s">
        <v>344</v>
      </c>
      <c r="J276" s="21" t="s">
        <v>345</v>
      </c>
      <c r="K276" s="21" t="s">
        <v>1115</v>
      </c>
      <c r="L276" s="112">
        <v>45896</v>
      </c>
      <c r="M276" s="127">
        <v>810</v>
      </c>
      <c r="N276" s="114">
        <v>45792</v>
      </c>
      <c r="O276" s="115" t="s">
        <v>830</v>
      </c>
      <c r="P276" s="115" t="s">
        <v>1116</v>
      </c>
      <c r="Q276" s="115"/>
      <c r="R276" s="116" t="s">
        <v>545</v>
      </c>
      <c r="S276" s="115" t="s">
        <v>69</v>
      </c>
      <c r="T276" s="117"/>
      <c r="U276" s="117"/>
      <c r="V276" s="137">
        <v>42367348.93</v>
      </c>
      <c r="W276" s="118"/>
      <c r="X276" s="125" t="s">
        <v>1117</v>
      </c>
      <c r="Y276" s="118">
        <v>42367348.93</v>
      </c>
      <c r="Z276" s="118" t="s">
        <v>70</v>
      </c>
      <c r="AA276" s="118"/>
      <c r="AB276" s="119" t="s">
        <v>546</v>
      </c>
      <c r="AC276" s="120"/>
      <c r="AD276" s="121">
        <v>900779202</v>
      </c>
      <c r="AE276" s="122" t="s">
        <v>1303</v>
      </c>
      <c r="AF276" s="126"/>
      <c r="AG276" s="114"/>
      <c r="AH276" s="21" t="s">
        <v>326</v>
      </c>
      <c r="AI276" s="21"/>
      <c r="AJ276" s="21"/>
      <c r="AK276" s="118">
        <v>0</v>
      </c>
      <c r="AL276" s="118">
        <f>+V276</f>
        <v>42367348.93</v>
      </c>
      <c r="AM276" s="123"/>
      <c r="AN276" s="123"/>
      <c r="AO276" s="123"/>
      <c r="AP276" s="123"/>
      <c r="AQ276" s="123"/>
      <c r="AR276" s="123"/>
      <c r="AS276" s="123"/>
      <c r="AT276" s="123"/>
      <c r="AU276" s="123"/>
      <c r="AV276" s="123"/>
      <c r="AW276" s="124"/>
      <c r="AX276" s="124">
        <v>26243607.329999998</v>
      </c>
      <c r="AY276" s="124">
        <v>16123741.6</v>
      </c>
      <c r="AZ276" s="124">
        <v>0</v>
      </c>
      <c r="BA276" s="21"/>
      <c r="BB276" s="21"/>
      <c r="BC276" s="21"/>
      <c r="BD276" s="21"/>
      <c r="BE276" s="21"/>
      <c r="BF276" s="21"/>
      <c r="BG276" s="21"/>
      <c r="BH276" s="21"/>
      <c r="BI276" s="21"/>
      <c r="BJ276" s="21"/>
    </row>
    <row r="277" spans="1:62" ht="14" x14ac:dyDescent="0.15">
      <c r="A277" s="17">
        <v>272</v>
      </c>
      <c r="B277" s="16" t="s">
        <v>1118</v>
      </c>
      <c r="C277" s="15">
        <v>167700750</v>
      </c>
      <c r="D277" s="112">
        <v>45929</v>
      </c>
      <c r="E277" s="21" t="s">
        <v>723</v>
      </c>
      <c r="F277" s="15">
        <v>167700750</v>
      </c>
      <c r="G277" s="21" t="s">
        <v>62</v>
      </c>
      <c r="H277" s="15">
        <v>0</v>
      </c>
      <c r="I277" s="21" t="s">
        <v>86</v>
      </c>
      <c r="J277" s="21" t="s">
        <v>87</v>
      </c>
      <c r="K277" s="21" t="s">
        <v>1119</v>
      </c>
      <c r="L277" s="112">
        <v>45929</v>
      </c>
      <c r="M277" s="160" t="s">
        <v>1120</v>
      </c>
      <c r="N277" s="114">
        <v>45856</v>
      </c>
      <c r="O277" s="115" t="s">
        <v>830</v>
      </c>
      <c r="P277" s="115" t="s">
        <v>1121</v>
      </c>
      <c r="Q277" s="115" t="s">
        <v>1122</v>
      </c>
      <c r="R277" s="116" t="s">
        <v>89</v>
      </c>
      <c r="S277" s="115" t="s">
        <v>69</v>
      </c>
      <c r="T277" s="117"/>
      <c r="U277" s="117"/>
      <c r="V277" s="137">
        <v>167700750</v>
      </c>
      <c r="W277" s="118"/>
      <c r="X277" s="125" t="s">
        <v>1117</v>
      </c>
      <c r="Y277" s="118">
        <v>167700750</v>
      </c>
      <c r="Z277" s="118" t="s">
        <v>70</v>
      </c>
      <c r="AA277" s="118"/>
      <c r="AB277" s="119" t="s">
        <v>90</v>
      </c>
      <c r="AC277" s="120"/>
      <c r="AD277" s="121">
        <v>901574691</v>
      </c>
      <c r="AE277" s="122" t="s">
        <v>1262</v>
      </c>
      <c r="AF277" s="126"/>
      <c r="AG277" s="114"/>
      <c r="AH277" s="21" t="s">
        <v>326</v>
      </c>
      <c r="AI277" s="21"/>
      <c r="AJ277" s="21"/>
      <c r="AK277" s="118">
        <v>0</v>
      </c>
      <c r="AL277" s="118">
        <f>+V277</f>
        <v>167700750</v>
      </c>
      <c r="AM277" s="123"/>
      <c r="AN277" s="123"/>
      <c r="AO277" s="123"/>
      <c r="AP277" s="123"/>
      <c r="AQ277" s="123"/>
      <c r="AR277" s="123"/>
      <c r="AS277" s="123"/>
      <c r="AT277" s="123"/>
      <c r="AU277" s="123"/>
      <c r="AV277" s="123">
        <v>0.1</v>
      </c>
      <c r="AW277" s="124">
        <v>0</v>
      </c>
      <c r="AX277" s="124">
        <f>IF(AK277="","",ROUND(AL277/INT(LEFT(AH277,FIND("m",AH277)-1))*50%,2))</f>
        <v>83850375</v>
      </c>
      <c r="AY277" s="124">
        <f>IF(AK277="","",ROUND(AL277*40%,2))</f>
        <v>67080300</v>
      </c>
      <c r="AZ277" s="124">
        <f>IF(AK277="","",ROUND(AL277*10%,2))</f>
        <v>16770075</v>
      </c>
      <c r="BA277" s="21"/>
      <c r="BB277" s="21"/>
      <c r="BC277" s="21"/>
      <c r="BD277" s="21"/>
      <c r="BE277" s="21"/>
      <c r="BF277" s="21"/>
      <c r="BG277" s="21"/>
      <c r="BH277" s="21"/>
      <c r="BI277" s="21"/>
      <c r="BJ277" s="21"/>
    </row>
    <row r="278" spans="1:62" ht="14" x14ac:dyDescent="0.15">
      <c r="A278" s="17">
        <v>273</v>
      </c>
      <c r="B278" s="16" t="s">
        <v>1123</v>
      </c>
      <c r="C278" s="15">
        <v>48149960.880000003</v>
      </c>
      <c r="D278" s="112">
        <v>45933</v>
      </c>
      <c r="E278" s="21" t="s">
        <v>61</v>
      </c>
      <c r="F278" s="15">
        <v>48149960.880000003</v>
      </c>
      <c r="G278" s="21" t="s">
        <v>62</v>
      </c>
      <c r="H278" s="15">
        <v>0</v>
      </c>
      <c r="I278" s="21" t="s">
        <v>252</v>
      </c>
      <c r="J278" s="21" t="s">
        <v>253</v>
      </c>
      <c r="K278" s="21" t="s">
        <v>1124</v>
      </c>
      <c r="L278" s="112">
        <v>45933</v>
      </c>
      <c r="M278" s="127">
        <v>162822</v>
      </c>
      <c r="N278" s="114">
        <v>44916</v>
      </c>
      <c r="O278" s="115" t="s">
        <v>66</v>
      </c>
      <c r="P278" s="115" t="s">
        <v>767</v>
      </c>
      <c r="Q278" s="115" t="s">
        <v>947</v>
      </c>
      <c r="R278" s="116" t="s">
        <v>254</v>
      </c>
      <c r="S278" s="115" t="s">
        <v>69</v>
      </c>
      <c r="T278" s="117"/>
      <c r="U278" s="117"/>
      <c r="V278" s="118">
        <v>48149960.880000003</v>
      </c>
      <c r="W278" s="118"/>
      <c r="X278" s="125" t="s">
        <v>1154</v>
      </c>
      <c r="Y278" s="118">
        <v>48149960.880000003</v>
      </c>
      <c r="Z278" s="118" t="s">
        <v>70</v>
      </c>
      <c r="AA278" s="118"/>
      <c r="AB278" s="119" t="s">
        <v>255</v>
      </c>
      <c r="AC278" s="120"/>
      <c r="AD278" s="121">
        <v>901580243</v>
      </c>
      <c r="AE278" s="122" t="s">
        <v>1279</v>
      </c>
      <c r="AF278" s="126"/>
      <c r="AG278" s="114"/>
      <c r="AH278" s="21" t="s">
        <v>326</v>
      </c>
      <c r="AI278" s="21" t="s">
        <v>326</v>
      </c>
      <c r="AJ278" s="21"/>
      <c r="AK278" s="118">
        <v>0</v>
      </c>
      <c r="AL278" s="118">
        <v>48149960.880000003</v>
      </c>
      <c r="AM278" s="123"/>
      <c r="AN278" s="123"/>
      <c r="AO278" s="123"/>
      <c r="AP278" s="123"/>
      <c r="AQ278" s="123"/>
      <c r="AR278" s="123"/>
      <c r="AS278" s="123"/>
      <c r="AT278" s="123"/>
      <c r="AU278" s="123"/>
      <c r="AV278" s="123">
        <v>0.1</v>
      </c>
      <c r="AW278" s="124">
        <v>0</v>
      </c>
      <c r="AX278" s="124">
        <f>IF(AK278="","",ROUND(AL278/INT(LEFT(AH278,FIND("m",AH278)-1))*50%,0))</f>
        <v>24074980</v>
      </c>
      <c r="AY278" s="124">
        <f>IF(AK278="","",ROUND(AL278*40%,2))</f>
        <v>19259984.350000001</v>
      </c>
      <c r="AZ278" s="124">
        <f>IF(AK278="","",ROUND(AL278*10%,2))</f>
        <v>4814996.09</v>
      </c>
      <c r="BA278" s="21"/>
      <c r="BB278" s="21"/>
      <c r="BC278" s="21"/>
      <c r="BD278" s="21"/>
      <c r="BE278" s="21"/>
      <c r="BF278" s="21"/>
      <c r="BG278" s="21"/>
      <c r="BH278" s="21"/>
      <c r="BI278" s="21"/>
      <c r="BJ278" s="21"/>
    </row>
    <row r="279" spans="1:62" ht="14" x14ac:dyDescent="0.15">
      <c r="A279" s="17">
        <v>274</v>
      </c>
      <c r="B279" s="16" t="s">
        <v>1125</v>
      </c>
      <c r="C279" s="15">
        <v>699999996</v>
      </c>
      <c r="D279" s="112">
        <v>45939</v>
      </c>
      <c r="E279" s="21" t="s">
        <v>1077</v>
      </c>
      <c r="F279" s="15">
        <v>699999996</v>
      </c>
      <c r="G279" s="21" t="s">
        <v>62</v>
      </c>
      <c r="H279" s="15">
        <v>0</v>
      </c>
      <c r="I279" s="21" t="s">
        <v>700</v>
      </c>
      <c r="J279" s="21" t="s">
        <v>141</v>
      </c>
      <c r="K279" s="21" t="s">
        <v>1126</v>
      </c>
      <c r="L279" s="112">
        <v>45939</v>
      </c>
      <c r="M279" s="21">
        <v>2025070247</v>
      </c>
      <c r="N279" s="114">
        <v>45855</v>
      </c>
      <c r="O279" s="115" t="s">
        <v>830</v>
      </c>
      <c r="P279" s="115" t="s">
        <v>1127</v>
      </c>
      <c r="Q279" s="21" t="s">
        <v>1128</v>
      </c>
      <c r="R279" s="116" t="s">
        <v>705</v>
      </c>
      <c r="S279" s="115" t="s">
        <v>69</v>
      </c>
      <c r="T279" s="117"/>
      <c r="U279" s="117"/>
      <c r="V279" s="137">
        <v>699999996</v>
      </c>
      <c r="W279" s="118"/>
      <c r="X279" s="118" t="s">
        <v>1127</v>
      </c>
      <c r="Y279" s="118">
        <v>699999996</v>
      </c>
      <c r="Z279" s="118" t="s">
        <v>70</v>
      </c>
      <c r="AA279" s="118"/>
      <c r="AB279" s="119" t="s">
        <v>706</v>
      </c>
      <c r="AC279" s="120"/>
      <c r="AD279" s="121">
        <v>901702657</v>
      </c>
      <c r="AE279" s="122" t="s">
        <v>1334</v>
      </c>
      <c r="AF279" s="126"/>
      <c r="AG279" s="114"/>
      <c r="AH279" s="21"/>
      <c r="AI279" s="21"/>
      <c r="AJ279" s="21"/>
      <c r="AK279" s="118">
        <v>0</v>
      </c>
      <c r="AL279" s="118">
        <v>699999996</v>
      </c>
      <c r="AM279" s="123"/>
      <c r="AN279" s="123"/>
      <c r="AO279" s="123"/>
      <c r="AP279" s="123"/>
      <c r="AQ279" s="123"/>
      <c r="AR279" s="123"/>
      <c r="AS279" s="123"/>
      <c r="AT279" s="123"/>
      <c r="AU279" s="123"/>
      <c r="AV279" s="123"/>
      <c r="AW279" s="124"/>
      <c r="AX279" s="124"/>
      <c r="AY279" s="124">
        <f>IF(AK279="","",ROUND(AL279*100%,2))</f>
        <v>699999996</v>
      </c>
      <c r="AZ279" s="124"/>
      <c r="BA279" s="21"/>
      <c r="BB279" s="21"/>
      <c r="BC279" s="21"/>
      <c r="BD279" s="21"/>
      <c r="BE279" s="21"/>
      <c r="BF279" s="21"/>
      <c r="BG279" s="21"/>
      <c r="BH279" s="21"/>
      <c r="BI279" s="21"/>
      <c r="BJ279" s="21"/>
    </row>
    <row r="280" spans="1:62" ht="14" x14ac:dyDescent="0.15">
      <c r="A280" s="17">
        <v>275</v>
      </c>
      <c r="B280" s="16" t="s">
        <v>1129</v>
      </c>
      <c r="C280" s="15">
        <v>204163653</v>
      </c>
      <c r="D280" s="112">
        <v>45939</v>
      </c>
      <c r="E280" s="21" t="s">
        <v>85</v>
      </c>
      <c r="F280" s="15">
        <v>204163653</v>
      </c>
      <c r="G280" s="21" t="s">
        <v>62</v>
      </c>
      <c r="H280" s="15">
        <v>0</v>
      </c>
      <c r="I280" s="142" t="s">
        <v>700</v>
      </c>
      <c r="J280" s="21" t="s">
        <v>141</v>
      </c>
      <c r="K280" s="21" t="s">
        <v>1130</v>
      </c>
      <c r="L280" s="112">
        <v>45939</v>
      </c>
      <c r="M280" s="127">
        <v>9822</v>
      </c>
      <c r="N280" s="114">
        <v>44567</v>
      </c>
      <c r="O280" s="115" t="s">
        <v>66</v>
      </c>
      <c r="P280" s="115" t="s">
        <v>767</v>
      </c>
      <c r="Q280" s="115" t="s">
        <v>947</v>
      </c>
      <c r="R280" s="116" t="s">
        <v>701</v>
      </c>
      <c r="S280" s="115" t="s">
        <v>69</v>
      </c>
      <c r="T280" s="117"/>
      <c r="U280" s="117"/>
      <c r="V280" s="118">
        <v>204163653</v>
      </c>
      <c r="W280" s="118"/>
      <c r="X280" s="118" t="s">
        <v>1154</v>
      </c>
      <c r="Y280" s="118">
        <v>204163653</v>
      </c>
      <c r="Z280" s="118" t="s">
        <v>70</v>
      </c>
      <c r="AA280" s="118"/>
      <c r="AB280" s="119" t="s">
        <v>702</v>
      </c>
      <c r="AC280" s="120"/>
      <c r="AD280" s="121">
        <v>901704796</v>
      </c>
      <c r="AE280" s="122" t="s">
        <v>1333</v>
      </c>
      <c r="AF280" s="126"/>
      <c r="AG280" s="114"/>
      <c r="AH280" s="21" t="s">
        <v>768</v>
      </c>
      <c r="AI280" s="21"/>
      <c r="AJ280" s="21"/>
      <c r="AK280" s="118">
        <v>0</v>
      </c>
      <c r="AL280" s="118">
        <v>204163653</v>
      </c>
      <c r="AM280" s="123"/>
      <c r="AN280" s="123"/>
      <c r="AO280" s="123"/>
      <c r="AP280" s="123"/>
      <c r="AQ280" s="123"/>
      <c r="AR280" s="123"/>
      <c r="AS280" s="123"/>
      <c r="AT280" s="123"/>
      <c r="AU280" s="123"/>
      <c r="AV280" s="123"/>
      <c r="AW280" s="124"/>
      <c r="AX280" s="124">
        <f>IF(AK280="","",ROUND(AL280/INT(LEFT(AH280,FIND("m",AH280)-1))*50%,2))</f>
        <v>25520456.629999999</v>
      </c>
      <c r="AY280" s="124">
        <f>IF(AK280="","",ROUND(AL280*40%,2))</f>
        <v>81665461.200000003</v>
      </c>
      <c r="AZ280" s="124">
        <f>IF(AK280="","",ROUND(AL280*10%,2))</f>
        <v>20416365.300000001</v>
      </c>
      <c r="BA280" s="21"/>
      <c r="BB280" s="21"/>
      <c r="BC280" s="21"/>
      <c r="BD280" s="21"/>
      <c r="BE280" s="21"/>
      <c r="BF280" s="21"/>
      <c r="BG280" s="21"/>
      <c r="BH280" s="21"/>
      <c r="BI280" s="21"/>
      <c r="BJ280" s="21"/>
    </row>
    <row r="281" spans="1:62" ht="14" x14ac:dyDescent="0.15">
      <c r="A281" s="17">
        <v>276</v>
      </c>
      <c r="B281" s="16" t="s">
        <v>1131</v>
      </c>
      <c r="C281" s="15">
        <v>179002315</v>
      </c>
      <c r="D281" s="112">
        <v>45952</v>
      </c>
      <c r="E281" s="21" t="s">
        <v>61</v>
      </c>
      <c r="F281" s="15">
        <v>179002315</v>
      </c>
      <c r="G281" s="21" t="s">
        <v>62</v>
      </c>
      <c r="H281" s="15">
        <v>0</v>
      </c>
      <c r="I281" s="142" t="s">
        <v>259</v>
      </c>
      <c r="J281" s="21" t="s">
        <v>64</v>
      </c>
      <c r="K281" s="21" t="s">
        <v>1132</v>
      </c>
      <c r="L281" s="112">
        <v>45952</v>
      </c>
      <c r="M281" s="135">
        <v>188421</v>
      </c>
      <c r="N281" s="114">
        <v>44550</v>
      </c>
      <c r="O281" s="115" t="s">
        <v>66</v>
      </c>
      <c r="P281" s="115" t="s">
        <v>767</v>
      </c>
      <c r="Q281" s="115" t="s">
        <v>990</v>
      </c>
      <c r="R281" s="116" t="s">
        <v>260</v>
      </c>
      <c r="S281" s="115" t="s">
        <v>69</v>
      </c>
      <c r="T281" s="117"/>
      <c r="U281" s="117"/>
      <c r="V281" s="118">
        <v>179002315</v>
      </c>
      <c r="W281" s="118"/>
      <c r="X281" s="118" t="s">
        <v>1352</v>
      </c>
      <c r="Y281" s="116">
        <v>179002315</v>
      </c>
      <c r="Z281" s="118" t="s">
        <v>70</v>
      </c>
      <c r="AA281" s="118"/>
      <c r="AB281" s="119" t="s">
        <v>261</v>
      </c>
      <c r="AC281" s="120"/>
      <c r="AD281" s="121">
        <v>901581149</v>
      </c>
      <c r="AE281" s="122" t="s">
        <v>1280</v>
      </c>
      <c r="AF281" s="126"/>
      <c r="AG281" s="114"/>
      <c r="AH281" s="21" t="s">
        <v>748</v>
      </c>
      <c r="AI281" s="21" t="s">
        <v>748</v>
      </c>
      <c r="AJ281" s="21"/>
      <c r="AK281" s="118">
        <v>0</v>
      </c>
      <c r="AL281" s="118">
        <v>179002315</v>
      </c>
      <c r="AM281" s="123"/>
      <c r="AN281" s="123"/>
      <c r="AO281" s="123"/>
      <c r="AP281" s="123"/>
      <c r="AQ281" s="123"/>
      <c r="AR281" s="123"/>
      <c r="AS281" s="123"/>
      <c r="AT281" s="123"/>
      <c r="AU281" s="123"/>
      <c r="AV281" s="123"/>
      <c r="AW281" s="124">
        <v>0</v>
      </c>
      <c r="AX281" s="124">
        <f>IF(AK281="","",ROUND(AL281/INT(LEFT(AH281,FIND("m",AH281)-1))*50%,0))</f>
        <v>29833719</v>
      </c>
      <c r="AY281" s="124">
        <f>IF(AK281="","",ROUND(AL281*40%,2))</f>
        <v>71600926</v>
      </c>
      <c r="AZ281" s="124">
        <f>IF(AK281="","",ROUND(AL281*10%,2))</f>
        <v>17900231.5</v>
      </c>
      <c r="BA281" s="21"/>
      <c r="BB281" s="21"/>
      <c r="BC281" s="21"/>
      <c r="BD281" s="21"/>
      <c r="BE281" s="21"/>
      <c r="BF281" s="21"/>
      <c r="BG281" s="21"/>
      <c r="BH281" s="21"/>
      <c r="BI281" s="21"/>
      <c r="BJ281" s="21"/>
    </row>
    <row r="282" spans="1:62" ht="14" x14ac:dyDescent="0.15">
      <c r="A282" s="17">
        <v>277</v>
      </c>
      <c r="B282" s="16" t="s">
        <v>1133</v>
      </c>
      <c r="C282" s="15">
        <v>990362657</v>
      </c>
      <c r="D282" s="112">
        <v>45957</v>
      </c>
      <c r="E282" s="21" t="s">
        <v>480</v>
      </c>
      <c r="F282" s="15">
        <v>990362657</v>
      </c>
      <c r="G282" s="21" t="s">
        <v>62</v>
      </c>
      <c r="H282" s="15">
        <v>0</v>
      </c>
      <c r="I282" s="21" t="s">
        <v>489</v>
      </c>
      <c r="J282" s="21" t="s">
        <v>489</v>
      </c>
      <c r="K282" s="21" t="s">
        <v>1134</v>
      </c>
      <c r="L282" s="112">
        <v>45957</v>
      </c>
      <c r="M282" s="127">
        <v>10622</v>
      </c>
      <c r="N282" s="114">
        <v>44567</v>
      </c>
      <c r="O282" s="115" t="s">
        <v>66</v>
      </c>
      <c r="P282" s="115" t="s">
        <v>767</v>
      </c>
      <c r="Q282" s="115" t="s">
        <v>947</v>
      </c>
      <c r="R282" s="116" t="s">
        <v>667</v>
      </c>
      <c r="S282" s="115" t="s">
        <v>69</v>
      </c>
      <c r="T282" s="117"/>
      <c r="U282" s="117"/>
      <c r="V282" s="118">
        <v>990362657</v>
      </c>
      <c r="W282" s="118"/>
      <c r="X282" s="125" t="s">
        <v>1352</v>
      </c>
      <c r="Y282" s="118">
        <v>990362657</v>
      </c>
      <c r="Z282" s="118" t="s">
        <v>70</v>
      </c>
      <c r="AA282" s="118"/>
      <c r="AB282" s="119" t="s">
        <v>668</v>
      </c>
      <c r="AC282" s="120"/>
      <c r="AD282" s="121">
        <v>901718288</v>
      </c>
      <c r="AE282" s="122" t="s">
        <v>1331</v>
      </c>
      <c r="AF282" s="126"/>
      <c r="AG282" s="114"/>
      <c r="AH282" s="21"/>
      <c r="AI282" s="21"/>
      <c r="AJ282" s="21"/>
      <c r="AK282" s="118"/>
      <c r="AL282" s="118">
        <f>+Y282</f>
        <v>990362657</v>
      </c>
      <c r="AM282" s="123"/>
      <c r="AN282" s="123"/>
      <c r="AO282" s="123"/>
      <c r="AP282" s="123"/>
      <c r="AQ282" s="123"/>
      <c r="AR282" s="123"/>
      <c r="AS282" s="123"/>
      <c r="AT282" s="123"/>
      <c r="AU282" s="123"/>
      <c r="AV282" s="123"/>
      <c r="AW282" s="124"/>
      <c r="AX282" s="124"/>
      <c r="AY282" s="124"/>
      <c r="AZ282" s="124"/>
      <c r="BA282" s="21"/>
      <c r="BB282" s="21"/>
      <c r="BC282" s="21"/>
      <c r="BD282" s="21"/>
      <c r="BE282" s="21"/>
      <c r="BF282" s="21"/>
      <c r="BG282" s="21"/>
      <c r="BH282" s="21"/>
      <c r="BI282" s="21"/>
      <c r="BJ282" s="21"/>
    </row>
    <row r="283" spans="1:62" ht="14" x14ac:dyDescent="0.15">
      <c r="A283" s="17">
        <v>278</v>
      </c>
      <c r="B283" s="16" t="s">
        <v>1135</v>
      </c>
      <c r="C283" s="15">
        <v>146772203</v>
      </c>
      <c r="D283" s="112">
        <v>45957</v>
      </c>
      <c r="E283" s="21" t="s">
        <v>85</v>
      </c>
      <c r="F283" s="15">
        <v>146772203</v>
      </c>
      <c r="G283" s="21" t="s">
        <v>62</v>
      </c>
      <c r="H283" s="15">
        <f>C283-F283</f>
        <v>0</v>
      </c>
      <c r="I283" s="21" t="s">
        <v>489</v>
      </c>
      <c r="J283" s="21" t="s">
        <v>489</v>
      </c>
      <c r="K283" s="21"/>
      <c r="L283" s="112">
        <v>45957</v>
      </c>
      <c r="M283" s="127">
        <v>10622</v>
      </c>
      <c r="N283" s="114">
        <v>44567</v>
      </c>
      <c r="O283" s="115" t="s">
        <v>66</v>
      </c>
      <c r="P283" s="115" t="s">
        <v>767</v>
      </c>
      <c r="Q283" s="115" t="s">
        <v>947</v>
      </c>
      <c r="R283" s="116" t="s">
        <v>673</v>
      </c>
      <c r="S283" s="115" t="s">
        <v>69</v>
      </c>
      <c r="T283" s="117"/>
      <c r="U283" s="117"/>
      <c r="V283" s="118">
        <v>146772203</v>
      </c>
      <c r="W283" s="118"/>
      <c r="X283" s="125" t="s">
        <v>1352</v>
      </c>
      <c r="Y283" s="118">
        <v>146772203</v>
      </c>
      <c r="Z283" s="118" t="s">
        <v>70</v>
      </c>
      <c r="AA283" s="118"/>
      <c r="AB283" s="119" t="s">
        <v>674</v>
      </c>
      <c r="AC283" s="120"/>
      <c r="AD283" s="121">
        <v>901721196</v>
      </c>
      <c r="AE283" s="122" t="s">
        <v>1332</v>
      </c>
      <c r="AF283" s="126"/>
      <c r="AG283" s="114"/>
      <c r="AH283" s="21" t="s">
        <v>326</v>
      </c>
      <c r="AI283" s="21"/>
      <c r="AJ283" s="21"/>
      <c r="AK283" s="118">
        <v>0</v>
      </c>
      <c r="AL283" s="118">
        <f>+Y283</f>
        <v>146772203</v>
      </c>
      <c r="AM283" s="123"/>
      <c r="AN283" s="123"/>
      <c r="AO283" s="123"/>
      <c r="AP283" s="123"/>
      <c r="AQ283" s="123"/>
      <c r="AR283" s="123"/>
      <c r="AS283" s="123"/>
      <c r="AT283" s="123"/>
      <c r="AU283" s="123"/>
      <c r="AV283" s="123">
        <v>0.1</v>
      </c>
      <c r="AW283" s="124"/>
      <c r="AX283" s="124">
        <f>IF(AK283="","",ROUND(AL283/INT(LEFT(AH283,FIND("m",AH283)-1))*50%,0))</f>
        <v>73386102</v>
      </c>
      <c r="AY283" s="124">
        <f>IF(AK283="","",ROUND(AL283*40%,2))</f>
        <v>58708881.200000003</v>
      </c>
      <c r="AZ283" s="124">
        <f>IF(AK283="","",ROUND(AL283*10%,2))</f>
        <v>14677220.300000001</v>
      </c>
      <c r="BA283" s="21"/>
      <c r="BB283" s="21"/>
      <c r="BC283" s="21"/>
      <c r="BD283" s="21"/>
      <c r="BE283" s="21"/>
      <c r="BF283" s="21"/>
      <c r="BG283" s="21"/>
      <c r="BH283" s="21"/>
      <c r="BI283" s="21"/>
      <c r="BJ283" s="21"/>
    </row>
    <row r="284" spans="1:62" ht="14" x14ac:dyDescent="0.15">
      <c r="A284" s="17">
        <v>279</v>
      </c>
      <c r="B284" s="161" t="s">
        <v>1136</v>
      </c>
      <c r="C284" s="15">
        <v>217393601</v>
      </c>
      <c r="D284" s="112">
        <v>45989</v>
      </c>
      <c r="E284" s="21" t="s">
        <v>723</v>
      </c>
      <c r="F284" s="15">
        <v>217393601</v>
      </c>
      <c r="G284" s="21" t="s">
        <v>62</v>
      </c>
      <c r="H284" s="15">
        <v>0</v>
      </c>
      <c r="I284" s="21" t="s">
        <v>86</v>
      </c>
      <c r="J284" s="21" t="s">
        <v>87</v>
      </c>
      <c r="K284" s="21" t="s">
        <v>1137</v>
      </c>
      <c r="L284" s="112">
        <v>45989</v>
      </c>
      <c r="M284" s="160" t="s">
        <v>1138</v>
      </c>
      <c r="N284" s="114">
        <v>45917</v>
      </c>
      <c r="O284" s="115" t="s">
        <v>830</v>
      </c>
      <c r="P284" s="115" t="s">
        <v>1121</v>
      </c>
      <c r="Q284" s="115" t="s">
        <v>1139</v>
      </c>
      <c r="R284" s="116" t="s">
        <v>89</v>
      </c>
      <c r="S284" s="115" t="s">
        <v>69</v>
      </c>
      <c r="T284" s="117"/>
      <c r="U284" s="117"/>
      <c r="V284" s="137">
        <v>217393601</v>
      </c>
      <c r="W284" s="118"/>
      <c r="X284" s="118" t="s">
        <v>1117</v>
      </c>
      <c r="Y284" s="118">
        <v>217393601</v>
      </c>
      <c r="Z284" s="118" t="s">
        <v>70</v>
      </c>
      <c r="AA284" s="118"/>
      <c r="AB284" s="119" t="s">
        <v>90</v>
      </c>
      <c r="AC284" s="120"/>
      <c r="AD284" s="121">
        <v>901574691</v>
      </c>
      <c r="AE284" s="122" t="s">
        <v>1262</v>
      </c>
      <c r="AF284" s="126"/>
      <c r="AG284" s="114"/>
      <c r="AH284" s="21" t="s">
        <v>326</v>
      </c>
      <c r="AI284" s="21"/>
      <c r="AJ284" s="21"/>
      <c r="AK284" s="118">
        <v>0</v>
      </c>
      <c r="AL284" s="118">
        <f>+V284</f>
        <v>217393601</v>
      </c>
      <c r="AM284" s="123"/>
      <c r="AN284" s="123"/>
      <c r="AO284" s="123"/>
      <c r="AP284" s="123"/>
      <c r="AQ284" s="123"/>
      <c r="AR284" s="123"/>
      <c r="AS284" s="123"/>
      <c r="AT284" s="123"/>
      <c r="AU284" s="123"/>
      <c r="AV284" s="123">
        <v>0.1</v>
      </c>
      <c r="AW284" s="124">
        <v>0</v>
      </c>
      <c r="AX284" s="124">
        <f>IF(AK284="","",ROUND(AL284/INT(LEFT(AH284,FIND("m",AH284)-1))*50%,2))</f>
        <v>108696800.5</v>
      </c>
      <c r="AY284" s="124">
        <f>IF(AK284="","",ROUND(AL284*40%,2))</f>
        <v>86957440.400000006</v>
      </c>
      <c r="AZ284" s="124">
        <f>IF(AK284="","",ROUND(AL284*10%,2))</f>
        <v>21739360.100000001</v>
      </c>
      <c r="BA284" s="21"/>
      <c r="BB284" s="21"/>
      <c r="BC284" s="21"/>
      <c r="BD284" s="21"/>
      <c r="BE284" s="21"/>
      <c r="BF284" s="21"/>
      <c r="BG284" s="21"/>
      <c r="BH284" s="21"/>
      <c r="BI284" s="21"/>
      <c r="BJ284" s="21"/>
    </row>
    <row r="285" spans="1:62" ht="14" x14ac:dyDescent="0.15">
      <c r="A285" s="17">
        <v>280</v>
      </c>
      <c r="B285" s="16" t="s">
        <v>1140</v>
      </c>
      <c r="C285" s="15">
        <v>150000000</v>
      </c>
      <c r="D285" s="112">
        <v>46000</v>
      </c>
      <c r="E285" s="21" t="s">
        <v>480</v>
      </c>
      <c r="F285" s="15">
        <v>150000000</v>
      </c>
      <c r="G285" s="21" t="s">
        <v>62</v>
      </c>
      <c r="H285" s="15">
        <v>0</v>
      </c>
      <c r="I285" s="21" t="s">
        <v>850</v>
      </c>
      <c r="J285" s="21" t="s">
        <v>87</v>
      </c>
      <c r="K285" s="21" t="s">
        <v>1141</v>
      </c>
      <c r="L285" s="112">
        <v>46000</v>
      </c>
      <c r="M285" s="127">
        <v>188021</v>
      </c>
      <c r="N285" s="114">
        <v>44550</v>
      </c>
      <c r="O285" s="115" t="s">
        <v>66</v>
      </c>
      <c r="P285" s="115" t="s">
        <v>767</v>
      </c>
      <c r="Q285" s="115" t="s">
        <v>947</v>
      </c>
      <c r="R285" s="116" t="s">
        <v>851</v>
      </c>
      <c r="S285" s="115" t="s">
        <v>69</v>
      </c>
      <c r="T285" s="117"/>
      <c r="U285" s="117"/>
      <c r="V285" s="118">
        <v>150000000</v>
      </c>
      <c r="W285" s="118"/>
      <c r="X285" s="118" t="s">
        <v>1154</v>
      </c>
      <c r="Y285" s="118">
        <v>150000000</v>
      </c>
      <c r="Z285" s="125" t="s">
        <v>70</v>
      </c>
      <c r="AA285" s="118"/>
      <c r="AB285" s="119" t="s">
        <v>852</v>
      </c>
      <c r="AC285" s="120"/>
      <c r="AD285" s="121">
        <v>901780322</v>
      </c>
      <c r="AE285" s="122" t="s">
        <v>1345</v>
      </c>
      <c r="AF285" s="126"/>
      <c r="AG285" s="114"/>
      <c r="AH285" s="21"/>
      <c r="AI285" s="21"/>
      <c r="AJ285" s="21"/>
      <c r="AK285" s="118"/>
      <c r="AL285" s="118">
        <v>150000000</v>
      </c>
      <c r="AM285" s="123"/>
      <c r="AN285" s="123"/>
      <c r="AO285" s="123"/>
      <c r="AP285" s="123"/>
      <c r="AQ285" s="123"/>
      <c r="AR285" s="123"/>
      <c r="AS285" s="123"/>
      <c r="AT285" s="123"/>
      <c r="AU285" s="123"/>
      <c r="AV285" s="123"/>
      <c r="AW285" s="124"/>
      <c r="AX285" s="124"/>
      <c r="AY285" s="124"/>
      <c r="AZ285" s="124"/>
      <c r="BA285" s="21"/>
      <c r="BB285" s="21"/>
      <c r="BC285" s="21"/>
      <c r="BD285" s="21"/>
      <c r="BE285" s="21"/>
      <c r="BF285" s="21"/>
      <c r="BG285" s="21"/>
      <c r="BH285" s="21"/>
      <c r="BI285" s="21"/>
      <c r="BJ285" s="21"/>
    </row>
    <row r="286" spans="1:62" ht="14" x14ac:dyDescent="0.15">
      <c r="A286" s="17">
        <v>281</v>
      </c>
      <c r="B286" s="16" t="s">
        <v>1142</v>
      </c>
      <c r="C286" s="15">
        <v>748049422</v>
      </c>
      <c r="D286" s="112">
        <v>46044</v>
      </c>
      <c r="E286" s="21" t="s">
        <v>480</v>
      </c>
      <c r="F286" s="15">
        <v>748049422</v>
      </c>
      <c r="G286" s="21" t="s">
        <v>62</v>
      </c>
      <c r="H286" s="15">
        <v>0</v>
      </c>
      <c r="I286" s="21" t="s">
        <v>489</v>
      </c>
      <c r="J286" s="21" t="s">
        <v>489</v>
      </c>
      <c r="K286" s="21" t="s">
        <v>1143</v>
      </c>
      <c r="L286" s="112">
        <v>46042</v>
      </c>
      <c r="M286" s="127" t="s">
        <v>1144</v>
      </c>
      <c r="N286" s="114" t="s">
        <v>1351</v>
      </c>
      <c r="O286" s="115" t="s">
        <v>1145</v>
      </c>
      <c r="P286" s="115" t="s">
        <v>1144</v>
      </c>
      <c r="Q286" s="115" t="s">
        <v>1144</v>
      </c>
      <c r="R286" s="116" t="s">
        <v>1144</v>
      </c>
      <c r="S286" s="115" t="s">
        <v>536</v>
      </c>
      <c r="T286" s="117"/>
      <c r="U286" s="117"/>
      <c r="V286" s="118">
        <v>0</v>
      </c>
      <c r="W286" s="118"/>
      <c r="X286" s="125" t="s">
        <v>1354</v>
      </c>
      <c r="Y286" s="118">
        <v>0</v>
      </c>
      <c r="Z286" s="118" t="s">
        <v>70</v>
      </c>
      <c r="AA286" s="118"/>
      <c r="AB286" s="119"/>
      <c r="AC286" s="120"/>
      <c r="AD286" s="121"/>
      <c r="AE286" s="122" t="s">
        <v>1159</v>
      </c>
      <c r="AF286" s="126"/>
      <c r="AG286" s="114"/>
      <c r="AH286" s="21"/>
      <c r="AI286" s="21"/>
      <c r="AJ286" s="21"/>
      <c r="AK286" s="118"/>
      <c r="AL286" s="118"/>
      <c r="AM286" s="123"/>
      <c r="AN286" s="123"/>
      <c r="AO286" s="123"/>
      <c r="AP286" s="123"/>
      <c r="AQ286" s="123"/>
      <c r="AR286" s="123"/>
      <c r="AS286" s="123"/>
      <c r="AT286" s="123"/>
      <c r="AU286" s="123"/>
      <c r="AV286" s="123"/>
      <c r="AW286" s="124"/>
      <c r="AX286" s="124"/>
      <c r="AY286" s="124"/>
      <c r="AZ286" s="124"/>
      <c r="BA286" s="21"/>
      <c r="BB286" s="21"/>
      <c r="BC286" s="21"/>
      <c r="BD286" s="21"/>
      <c r="BE286" s="21"/>
      <c r="BF286" s="21"/>
      <c r="BG286" s="21"/>
      <c r="BH286" s="21"/>
      <c r="BI286" s="21"/>
      <c r="BJ286" s="21"/>
    </row>
    <row r="287" spans="1:62" ht="14" x14ac:dyDescent="0.15">
      <c r="A287" s="17">
        <v>282</v>
      </c>
      <c r="B287" s="16" t="s">
        <v>1146</v>
      </c>
      <c r="C287" s="15">
        <v>22601371.07</v>
      </c>
      <c r="D287" s="112">
        <v>46051</v>
      </c>
      <c r="E287" s="21" t="s">
        <v>480</v>
      </c>
      <c r="F287" s="15">
        <v>22601371.07</v>
      </c>
      <c r="G287" s="21" t="s">
        <v>62</v>
      </c>
      <c r="H287" s="15">
        <v>0</v>
      </c>
      <c r="I287" s="21" t="s">
        <v>1147</v>
      </c>
      <c r="J287" s="15" t="s">
        <v>1148</v>
      </c>
      <c r="K287" s="21" t="s">
        <v>1143</v>
      </c>
      <c r="L287" s="112">
        <v>46049</v>
      </c>
      <c r="M287" s="127">
        <v>188021</v>
      </c>
      <c r="N287" s="114">
        <v>44550</v>
      </c>
      <c r="O287" s="115" t="s">
        <v>66</v>
      </c>
      <c r="P287" s="115" t="s">
        <v>767</v>
      </c>
      <c r="Q287" s="115" t="s">
        <v>947</v>
      </c>
      <c r="R287" s="116" t="s">
        <v>1149</v>
      </c>
      <c r="S287" s="115" t="s">
        <v>69</v>
      </c>
      <c r="T287" s="117"/>
      <c r="U287" s="117"/>
      <c r="V287" s="162">
        <v>22601371.07</v>
      </c>
      <c r="W287" s="118"/>
      <c r="X287" s="125" t="s">
        <v>1154</v>
      </c>
      <c r="Y287" s="116">
        <v>0</v>
      </c>
      <c r="Z287" s="118"/>
      <c r="AA287" s="118"/>
      <c r="AB287" s="119"/>
      <c r="AC287" s="120"/>
      <c r="AD287" s="121"/>
      <c r="AE287" s="122" t="s">
        <v>1159</v>
      </c>
      <c r="AF287" s="126"/>
      <c r="AG287" s="114"/>
      <c r="AH287" s="21"/>
      <c r="AI287" s="21"/>
      <c r="AJ287" s="21"/>
      <c r="AK287" s="118"/>
      <c r="AL287" s="118"/>
      <c r="AM287" s="123"/>
      <c r="AN287" s="123"/>
      <c r="AO287" s="123"/>
      <c r="AP287" s="123"/>
      <c r="AQ287" s="123"/>
      <c r="AR287" s="123"/>
      <c r="AS287" s="123"/>
      <c r="AT287" s="123"/>
      <c r="AU287" s="123"/>
      <c r="AV287" s="123"/>
      <c r="AW287" s="124"/>
      <c r="AX287" s="124"/>
      <c r="AY287" s="124"/>
      <c r="AZ287" s="124"/>
      <c r="BA287" s="21"/>
      <c r="BB287" s="21"/>
      <c r="BC287" s="21"/>
      <c r="BD287" s="21"/>
      <c r="BE287" s="21"/>
      <c r="BF287" s="21"/>
      <c r="BG287" s="21"/>
      <c r="BH287" s="21"/>
      <c r="BI287" s="21"/>
      <c r="BJ287" s="21"/>
    </row>
    <row r="288" spans="1:62" ht="14" x14ac:dyDescent="0.15">
      <c r="A288" s="17">
        <v>282</v>
      </c>
      <c r="B288" s="16" t="s">
        <v>1146</v>
      </c>
      <c r="C288" s="15">
        <v>29852469</v>
      </c>
      <c r="D288" s="112">
        <v>46051</v>
      </c>
      <c r="E288" s="21" t="s">
        <v>480</v>
      </c>
      <c r="F288" s="15">
        <v>29852469</v>
      </c>
      <c r="G288" s="21" t="s">
        <v>62</v>
      </c>
      <c r="H288" s="15">
        <v>0</v>
      </c>
      <c r="I288" s="21" t="s">
        <v>1147</v>
      </c>
      <c r="J288" s="15" t="s">
        <v>1148</v>
      </c>
      <c r="K288" s="21" t="s">
        <v>1143</v>
      </c>
      <c r="L288" s="112">
        <v>46049</v>
      </c>
      <c r="M288" s="127">
        <v>188121</v>
      </c>
      <c r="N288" s="114">
        <v>44550</v>
      </c>
      <c r="O288" s="115" t="s">
        <v>66</v>
      </c>
      <c r="P288" s="115" t="s">
        <v>767</v>
      </c>
      <c r="Q288" s="115" t="s">
        <v>947</v>
      </c>
      <c r="R288" s="116" t="s">
        <v>1149</v>
      </c>
      <c r="S288" s="115" t="s">
        <v>69</v>
      </c>
      <c r="T288" s="117"/>
      <c r="U288" s="117"/>
      <c r="V288" s="162">
        <v>29852469</v>
      </c>
      <c r="W288" s="118"/>
      <c r="X288" s="125" t="s">
        <v>1154</v>
      </c>
      <c r="Y288" s="116">
        <v>0</v>
      </c>
      <c r="Z288" s="118"/>
      <c r="AA288" s="118"/>
      <c r="AB288" s="119"/>
      <c r="AC288" s="120"/>
      <c r="AD288" s="121"/>
      <c r="AE288" s="122" t="s">
        <v>1159</v>
      </c>
      <c r="AF288" s="126"/>
      <c r="AG288" s="114"/>
      <c r="AH288" s="21"/>
      <c r="AI288" s="21"/>
      <c r="AJ288" s="21"/>
      <c r="AK288" s="118"/>
      <c r="AL288" s="118"/>
      <c r="AM288" s="123"/>
      <c r="AN288" s="123"/>
      <c r="AO288" s="123"/>
      <c r="AP288" s="123"/>
      <c r="AQ288" s="123"/>
      <c r="AR288" s="123"/>
      <c r="AS288" s="123"/>
      <c r="AT288" s="123"/>
      <c r="AU288" s="123"/>
      <c r="AV288" s="123"/>
      <c r="AW288" s="124"/>
      <c r="AX288" s="124"/>
      <c r="AY288" s="124"/>
      <c r="AZ288" s="124"/>
      <c r="BA288" s="21"/>
      <c r="BB288" s="21"/>
      <c r="BC288" s="21"/>
      <c r="BD288" s="21"/>
      <c r="BE288" s="21"/>
      <c r="BF288" s="21"/>
      <c r="BG288" s="21"/>
      <c r="BH288" s="21"/>
      <c r="BI288" s="21"/>
      <c r="BJ288" s="21"/>
    </row>
    <row r="289" spans="1:62" ht="14" x14ac:dyDescent="0.15">
      <c r="A289" s="17">
        <v>282</v>
      </c>
      <c r="B289" s="16" t="s">
        <v>1146</v>
      </c>
      <c r="C289" s="15">
        <v>59581500.93</v>
      </c>
      <c r="D289" s="112">
        <v>46051</v>
      </c>
      <c r="E289" s="21" t="s">
        <v>480</v>
      </c>
      <c r="F289" s="15">
        <v>59581500.93</v>
      </c>
      <c r="G289" s="21" t="s">
        <v>62</v>
      </c>
      <c r="H289" s="15">
        <v>0</v>
      </c>
      <c r="I289" s="21" t="s">
        <v>1147</v>
      </c>
      <c r="J289" s="15" t="s">
        <v>1148</v>
      </c>
      <c r="K289" s="21" t="s">
        <v>1143</v>
      </c>
      <c r="L289" s="112">
        <v>46049</v>
      </c>
      <c r="M289" s="127">
        <v>9622</v>
      </c>
      <c r="N289" s="114">
        <v>44567</v>
      </c>
      <c r="O289" s="115" t="s">
        <v>66</v>
      </c>
      <c r="P289" s="115" t="s">
        <v>767</v>
      </c>
      <c r="Q289" s="115" t="s">
        <v>947</v>
      </c>
      <c r="R289" s="116" t="s">
        <v>1149</v>
      </c>
      <c r="S289" s="115" t="s">
        <v>69</v>
      </c>
      <c r="T289" s="117"/>
      <c r="U289" s="117"/>
      <c r="V289" s="162">
        <v>59581500.93</v>
      </c>
      <c r="W289" s="118"/>
      <c r="X289" s="125" t="s">
        <v>1154</v>
      </c>
      <c r="Y289" s="116">
        <v>0</v>
      </c>
      <c r="Z289" s="118"/>
      <c r="AA289" s="118"/>
      <c r="AB289" s="119"/>
      <c r="AC289" s="120"/>
      <c r="AD289" s="121"/>
      <c r="AE289" s="122" t="s">
        <v>1159</v>
      </c>
      <c r="AF289" s="126"/>
      <c r="AG289" s="114"/>
      <c r="AH289" s="21"/>
      <c r="AI289" s="21"/>
      <c r="AJ289" s="21"/>
      <c r="AK289" s="118"/>
      <c r="AL289" s="118"/>
      <c r="AM289" s="123"/>
      <c r="AN289" s="123"/>
      <c r="AO289" s="123"/>
      <c r="AP289" s="123"/>
      <c r="AQ289" s="123"/>
      <c r="AR289" s="123"/>
      <c r="AS289" s="123"/>
      <c r="AT289" s="123"/>
      <c r="AU289" s="123"/>
      <c r="AV289" s="123"/>
      <c r="AW289" s="124"/>
      <c r="AX289" s="124"/>
      <c r="AY289" s="124"/>
      <c r="AZ289" s="124"/>
      <c r="BA289" s="21"/>
      <c r="BB289" s="21"/>
      <c r="BC289" s="21"/>
      <c r="BD289" s="21"/>
      <c r="BE289" s="21"/>
      <c r="BF289" s="21"/>
      <c r="BG289" s="21"/>
      <c r="BH289" s="21"/>
      <c r="BI289" s="21"/>
      <c r="BJ289" s="21"/>
    </row>
    <row r="290" spans="1:62" ht="14" x14ac:dyDescent="0.15">
      <c r="A290" s="17">
        <v>282</v>
      </c>
      <c r="B290" s="16" t="s">
        <v>1146</v>
      </c>
      <c r="C290" s="15">
        <v>305317708.67000008</v>
      </c>
      <c r="D290" s="112">
        <v>46051</v>
      </c>
      <c r="E290" s="21" t="s">
        <v>480</v>
      </c>
      <c r="F290" s="15">
        <v>305317708.67000008</v>
      </c>
      <c r="G290" s="21" t="s">
        <v>62</v>
      </c>
      <c r="H290" s="15">
        <v>0</v>
      </c>
      <c r="I290" s="21" t="s">
        <v>1147</v>
      </c>
      <c r="J290" s="15" t="s">
        <v>1148</v>
      </c>
      <c r="K290" s="21" t="s">
        <v>1143</v>
      </c>
      <c r="L290" s="112">
        <v>46049</v>
      </c>
      <c r="M290" s="127">
        <v>176921</v>
      </c>
      <c r="N290" s="114">
        <v>44477</v>
      </c>
      <c r="O290" s="115" t="s">
        <v>66</v>
      </c>
      <c r="P290" s="115" t="s">
        <v>767</v>
      </c>
      <c r="Q290" s="115" t="s">
        <v>947</v>
      </c>
      <c r="R290" s="116" t="s">
        <v>1149</v>
      </c>
      <c r="S290" s="115" t="s">
        <v>69</v>
      </c>
      <c r="T290" s="117"/>
      <c r="U290" s="117"/>
      <c r="V290" s="162">
        <v>305317708.67000008</v>
      </c>
      <c r="W290" s="118"/>
      <c r="X290" s="125" t="s">
        <v>1154</v>
      </c>
      <c r="Y290" s="116"/>
      <c r="Z290" s="118"/>
      <c r="AA290" s="118"/>
      <c r="AB290" s="119"/>
      <c r="AC290" s="120"/>
      <c r="AD290" s="121"/>
      <c r="AE290" s="122" t="s">
        <v>1159</v>
      </c>
      <c r="AF290" s="126"/>
      <c r="AG290" s="114"/>
      <c r="AH290" s="21"/>
      <c r="AI290" s="21"/>
      <c r="AJ290" s="21"/>
      <c r="AK290" s="118"/>
      <c r="AL290" s="118"/>
      <c r="AM290" s="123"/>
      <c r="AN290" s="123"/>
      <c r="AO290" s="123"/>
      <c r="AP290" s="123"/>
      <c r="AQ290" s="123"/>
      <c r="AR290" s="123"/>
      <c r="AS290" s="123"/>
      <c r="AT290" s="123"/>
      <c r="AU290" s="123"/>
      <c r="AV290" s="123"/>
      <c r="AW290" s="124"/>
      <c r="AX290" s="124"/>
      <c r="AY290" s="124"/>
      <c r="AZ290" s="124"/>
      <c r="BA290" s="21"/>
      <c r="BB290" s="21"/>
      <c r="BC290" s="21"/>
      <c r="BD290" s="21"/>
      <c r="BE290" s="21"/>
      <c r="BF290" s="21"/>
      <c r="BG290" s="21"/>
      <c r="BH290" s="21"/>
      <c r="BI290" s="21"/>
      <c r="BJ290" s="21"/>
    </row>
    <row r="291" spans="1:62" ht="14" x14ac:dyDescent="0.15">
      <c r="A291" s="17">
        <v>282</v>
      </c>
      <c r="B291" s="16" t="s">
        <v>1146</v>
      </c>
      <c r="C291" s="15">
        <v>57573794</v>
      </c>
      <c r="D291" s="112">
        <v>46051</v>
      </c>
      <c r="E291" s="21" t="s">
        <v>480</v>
      </c>
      <c r="F291" s="15">
        <v>57573794</v>
      </c>
      <c r="G291" s="21" t="s">
        <v>62</v>
      </c>
      <c r="H291" s="15">
        <v>0</v>
      </c>
      <c r="I291" s="21" t="s">
        <v>1147</v>
      </c>
      <c r="J291" s="15" t="s">
        <v>1148</v>
      </c>
      <c r="K291" s="21" t="s">
        <v>1143</v>
      </c>
      <c r="L291" s="112">
        <v>46049</v>
      </c>
      <c r="M291" s="127">
        <v>187921</v>
      </c>
      <c r="N291" s="114">
        <v>44550</v>
      </c>
      <c r="O291" s="115" t="s">
        <v>66</v>
      </c>
      <c r="P291" s="115" t="s">
        <v>767</v>
      </c>
      <c r="Q291" s="115" t="s">
        <v>947</v>
      </c>
      <c r="R291" s="116" t="s">
        <v>1149</v>
      </c>
      <c r="S291" s="115" t="s">
        <v>69</v>
      </c>
      <c r="T291" s="117"/>
      <c r="U291" s="117"/>
      <c r="V291" s="162">
        <v>57573794</v>
      </c>
      <c r="W291" s="118"/>
      <c r="X291" s="125" t="s">
        <v>1154</v>
      </c>
      <c r="Y291" s="116"/>
      <c r="Z291" s="118"/>
      <c r="AA291" s="118"/>
      <c r="AB291" s="119"/>
      <c r="AC291" s="120"/>
      <c r="AD291" s="121"/>
      <c r="AE291" s="122" t="s">
        <v>1159</v>
      </c>
      <c r="AF291" s="126"/>
      <c r="AG291" s="114"/>
      <c r="AH291" s="21"/>
      <c r="AI291" s="21"/>
      <c r="AJ291" s="21"/>
      <c r="AK291" s="118"/>
      <c r="AL291" s="118"/>
      <c r="AM291" s="123"/>
      <c r="AN291" s="123"/>
      <c r="AO291" s="123"/>
      <c r="AP291" s="123"/>
      <c r="AQ291" s="123"/>
      <c r="AR291" s="123"/>
      <c r="AS291" s="123"/>
      <c r="AT291" s="123"/>
      <c r="AU291" s="123"/>
      <c r="AV291" s="123"/>
      <c r="AW291" s="124"/>
      <c r="AX291" s="124"/>
      <c r="AY291" s="124"/>
      <c r="AZ291" s="124"/>
      <c r="BA291" s="21"/>
      <c r="BB291" s="21"/>
      <c r="BC291" s="21"/>
      <c r="BD291" s="21"/>
      <c r="BE291" s="21"/>
      <c r="BF291" s="21"/>
      <c r="BG291" s="21"/>
      <c r="BH291" s="21"/>
      <c r="BI291" s="21"/>
      <c r="BJ291" s="21"/>
    </row>
    <row r="292" spans="1:62" ht="14" x14ac:dyDescent="0.15">
      <c r="A292" s="17">
        <v>282</v>
      </c>
      <c r="B292" s="16" t="s">
        <v>1146</v>
      </c>
      <c r="C292" s="15">
        <v>105408.07</v>
      </c>
      <c r="D292" s="112">
        <v>46051</v>
      </c>
      <c r="E292" s="21" t="s">
        <v>480</v>
      </c>
      <c r="F292" s="15">
        <v>105408.07</v>
      </c>
      <c r="G292" s="21" t="s">
        <v>62</v>
      </c>
      <c r="H292" s="15">
        <v>0</v>
      </c>
      <c r="I292" s="21" t="s">
        <v>1147</v>
      </c>
      <c r="J292" s="15" t="s">
        <v>1148</v>
      </c>
      <c r="K292" s="21" t="s">
        <v>1143</v>
      </c>
      <c r="L292" s="112">
        <v>46049</v>
      </c>
      <c r="M292" s="127">
        <v>9622</v>
      </c>
      <c r="N292" s="114">
        <v>44567</v>
      </c>
      <c r="O292" s="115" t="s">
        <v>66</v>
      </c>
      <c r="P292" s="115" t="s">
        <v>767</v>
      </c>
      <c r="Q292" s="115" t="s">
        <v>947</v>
      </c>
      <c r="R292" s="116" t="s">
        <v>1149</v>
      </c>
      <c r="S292" s="115" t="s">
        <v>69</v>
      </c>
      <c r="T292" s="117"/>
      <c r="U292" s="117"/>
      <c r="V292" s="162">
        <v>105408.07</v>
      </c>
      <c r="W292" s="118"/>
      <c r="X292" s="125" t="s">
        <v>1154</v>
      </c>
      <c r="Y292" s="116"/>
      <c r="Z292" s="118"/>
      <c r="AA292" s="118"/>
      <c r="AB292" s="119"/>
      <c r="AC292" s="120"/>
      <c r="AD292" s="121"/>
      <c r="AE292" s="122" t="s">
        <v>1159</v>
      </c>
      <c r="AF292" s="126"/>
      <c r="AG292" s="114"/>
      <c r="AH292" s="21"/>
      <c r="AI292" s="21"/>
      <c r="AJ292" s="21"/>
      <c r="AK292" s="118"/>
      <c r="AL292" s="118"/>
      <c r="AM292" s="123"/>
      <c r="AN292" s="123"/>
      <c r="AO292" s="123"/>
      <c r="AP292" s="123"/>
      <c r="AQ292" s="123"/>
      <c r="AR292" s="123"/>
      <c r="AS292" s="123"/>
      <c r="AT292" s="123"/>
      <c r="AU292" s="123"/>
      <c r="AV292" s="123"/>
      <c r="AW292" s="124"/>
      <c r="AX292" s="124"/>
      <c r="AY292" s="124"/>
      <c r="AZ292" s="124"/>
      <c r="BA292" s="21"/>
      <c r="BB292" s="21"/>
      <c r="BC292" s="21"/>
      <c r="BD292" s="21"/>
      <c r="BE292" s="21"/>
      <c r="BF292" s="21"/>
      <c r="BG292" s="21"/>
      <c r="BH292" s="21"/>
      <c r="BI292" s="21"/>
      <c r="BJ292" s="21"/>
    </row>
    <row r="293" spans="1:62" ht="14" x14ac:dyDescent="0.15">
      <c r="A293" s="17">
        <v>282</v>
      </c>
      <c r="B293" s="16" t="s">
        <v>1146</v>
      </c>
      <c r="C293" s="15">
        <v>6341212831.0800018</v>
      </c>
      <c r="D293" s="112">
        <v>46051</v>
      </c>
      <c r="E293" s="21" t="s">
        <v>480</v>
      </c>
      <c r="F293" s="15">
        <v>6341212831.0800018</v>
      </c>
      <c r="G293" s="21" t="s">
        <v>62</v>
      </c>
      <c r="H293" s="15">
        <v>0</v>
      </c>
      <c r="I293" s="21" t="s">
        <v>1147</v>
      </c>
      <c r="J293" s="15" t="s">
        <v>1148</v>
      </c>
      <c r="K293" s="21" t="s">
        <v>1143</v>
      </c>
      <c r="L293" s="112">
        <v>46049</v>
      </c>
      <c r="M293" s="127">
        <v>9822</v>
      </c>
      <c r="N293" s="114">
        <v>44567</v>
      </c>
      <c r="O293" s="115" t="s">
        <v>66</v>
      </c>
      <c r="P293" s="115" t="s">
        <v>767</v>
      </c>
      <c r="Q293" s="115" t="s">
        <v>947</v>
      </c>
      <c r="R293" s="116" t="s">
        <v>1149</v>
      </c>
      <c r="S293" s="115" t="s">
        <v>69</v>
      </c>
      <c r="T293" s="117"/>
      <c r="U293" s="117"/>
      <c r="V293" s="162">
        <v>6341212831.0800018</v>
      </c>
      <c r="W293" s="118"/>
      <c r="X293" s="125" t="s">
        <v>1154</v>
      </c>
      <c r="Y293" s="116"/>
      <c r="Z293" s="118"/>
      <c r="AA293" s="118"/>
      <c r="AB293" s="119"/>
      <c r="AC293" s="120"/>
      <c r="AD293" s="121"/>
      <c r="AE293" s="122" t="s">
        <v>1159</v>
      </c>
      <c r="AF293" s="126"/>
      <c r="AG293" s="114"/>
      <c r="AH293" s="21"/>
      <c r="AI293" s="21"/>
      <c r="AJ293" s="21"/>
      <c r="AK293" s="118"/>
      <c r="AL293" s="118"/>
      <c r="AM293" s="123"/>
      <c r="AN293" s="123"/>
      <c r="AO293" s="123"/>
      <c r="AP293" s="123"/>
      <c r="AQ293" s="123"/>
      <c r="AR293" s="123"/>
      <c r="AS293" s="123"/>
      <c r="AT293" s="123"/>
      <c r="AU293" s="123"/>
      <c r="AV293" s="123"/>
      <c r="AW293" s="124"/>
      <c r="AX293" s="124"/>
      <c r="AY293" s="124"/>
      <c r="AZ293" s="124"/>
      <c r="BA293" s="21"/>
      <c r="BB293" s="21"/>
      <c r="BC293" s="21"/>
      <c r="BD293" s="21"/>
      <c r="BE293" s="21"/>
      <c r="BF293" s="21"/>
      <c r="BG293" s="21"/>
      <c r="BH293" s="21"/>
      <c r="BI293" s="21"/>
      <c r="BJ293" s="21"/>
    </row>
    <row r="294" spans="1:62" ht="14" x14ac:dyDescent="0.15">
      <c r="A294" s="17">
        <v>282</v>
      </c>
      <c r="B294" s="16" t="s">
        <v>1146</v>
      </c>
      <c r="C294" s="15">
        <v>762213566.11000001</v>
      </c>
      <c r="D294" s="112">
        <v>46051</v>
      </c>
      <c r="E294" s="21" t="s">
        <v>480</v>
      </c>
      <c r="F294" s="15">
        <v>762213566.11000001</v>
      </c>
      <c r="G294" s="21" t="s">
        <v>62</v>
      </c>
      <c r="H294" s="15">
        <v>0</v>
      </c>
      <c r="I294" s="21" t="s">
        <v>1147</v>
      </c>
      <c r="J294" s="15" t="s">
        <v>1148</v>
      </c>
      <c r="K294" s="21" t="s">
        <v>1143</v>
      </c>
      <c r="L294" s="112">
        <v>46049</v>
      </c>
      <c r="M294" s="127">
        <v>162822</v>
      </c>
      <c r="N294" s="114">
        <v>44916</v>
      </c>
      <c r="O294" s="115" t="s">
        <v>66</v>
      </c>
      <c r="P294" s="115" t="s">
        <v>767</v>
      </c>
      <c r="Q294" s="115" t="s">
        <v>947</v>
      </c>
      <c r="R294" s="116" t="s">
        <v>1149</v>
      </c>
      <c r="S294" s="115" t="s">
        <v>69</v>
      </c>
      <c r="T294" s="117"/>
      <c r="U294" s="117"/>
      <c r="V294" s="162">
        <v>762213566.12</v>
      </c>
      <c r="W294" s="118"/>
      <c r="X294" s="125" t="s">
        <v>1154</v>
      </c>
      <c r="Y294" s="116"/>
      <c r="Z294" s="118"/>
      <c r="AA294" s="118"/>
      <c r="AB294" s="119"/>
      <c r="AC294" s="120"/>
      <c r="AD294" s="121"/>
      <c r="AE294" s="122" t="s">
        <v>1159</v>
      </c>
      <c r="AF294" s="126"/>
      <c r="AG294" s="114"/>
      <c r="AH294" s="21"/>
      <c r="AI294" s="21"/>
      <c r="AJ294" s="21"/>
      <c r="AK294" s="118"/>
      <c r="AL294" s="118"/>
      <c r="AM294" s="123"/>
      <c r="AN294" s="123"/>
      <c r="AO294" s="123"/>
      <c r="AP294" s="123"/>
      <c r="AQ294" s="123"/>
      <c r="AR294" s="123"/>
      <c r="AS294" s="123"/>
      <c r="AT294" s="123"/>
      <c r="AU294" s="123"/>
      <c r="AV294" s="123"/>
      <c r="AW294" s="124"/>
      <c r="AX294" s="124"/>
      <c r="AY294" s="124"/>
      <c r="AZ294" s="124"/>
      <c r="BA294" s="21"/>
      <c r="BB294" s="21"/>
      <c r="BC294" s="21"/>
      <c r="BD294" s="21"/>
      <c r="BE294" s="21"/>
      <c r="BF294" s="21"/>
      <c r="BG294" s="21"/>
      <c r="BH294" s="21"/>
      <c r="BI294" s="21"/>
      <c r="BJ294" s="21"/>
    </row>
    <row r="295" spans="1:62" ht="14" x14ac:dyDescent="0.15">
      <c r="A295" s="17">
        <v>282</v>
      </c>
      <c r="B295" s="16" t="s">
        <v>1146</v>
      </c>
      <c r="C295" s="15">
        <v>6943595252.6700001</v>
      </c>
      <c r="D295" s="112">
        <v>46051</v>
      </c>
      <c r="E295" s="21" t="s">
        <v>480</v>
      </c>
      <c r="F295" s="15">
        <v>6943595252.6700001</v>
      </c>
      <c r="G295" s="21" t="s">
        <v>62</v>
      </c>
      <c r="H295" s="15">
        <v>0</v>
      </c>
      <c r="I295" s="21" t="s">
        <v>1147</v>
      </c>
      <c r="J295" s="15" t="s">
        <v>1148</v>
      </c>
      <c r="K295" s="21" t="s">
        <v>1143</v>
      </c>
      <c r="L295" s="112">
        <v>46049</v>
      </c>
      <c r="M295" s="127">
        <v>163222</v>
      </c>
      <c r="N295" s="114">
        <v>44916</v>
      </c>
      <c r="O295" s="115" t="s">
        <v>66</v>
      </c>
      <c r="P295" s="115" t="s">
        <v>767</v>
      </c>
      <c r="Q295" s="115" t="s">
        <v>947</v>
      </c>
      <c r="R295" s="116" t="s">
        <v>1149</v>
      </c>
      <c r="S295" s="115" t="s">
        <v>69</v>
      </c>
      <c r="T295" s="117"/>
      <c r="U295" s="117"/>
      <c r="V295" s="162">
        <v>6943595252.6700001</v>
      </c>
      <c r="W295" s="118"/>
      <c r="X295" s="125" t="s">
        <v>1154</v>
      </c>
      <c r="Y295" s="116"/>
      <c r="Z295" s="118"/>
      <c r="AA295" s="118"/>
      <c r="AB295" s="119"/>
      <c r="AC295" s="120"/>
      <c r="AD295" s="121"/>
      <c r="AE295" s="122" t="s">
        <v>1159</v>
      </c>
      <c r="AF295" s="126"/>
      <c r="AG295" s="114"/>
      <c r="AH295" s="21"/>
      <c r="AI295" s="21"/>
      <c r="AJ295" s="21"/>
      <c r="AK295" s="118"/>
      <c r="AL295" s="118"/>
      <c r="AM295" s="123"/>
      <c r="AN295" s="123"/>
      <c r="AO295" s="123"/>
      <c r="AP295" s="123"/>
      <c r="AQ295" s="123"/>
      <c r="AR295" s="123"/>
      <c r="AS295" s="123"/>
      <c r="AT295" s="123"/>
      <c r="AU295" s="123"/>
      <c r="AV295" s="123"/>
      <c r="AW295" s="124"/>
      <c r="AX295" s="124"/>
      <c r="AY295" s="124"/>
      <c r="AZ295" s="124"/>
      <c r="BA295" s="21"/>
      <c r="BB295" s="21"/>
      <c r="BC295" s="21"/>
      <c r="BD295" s="21"/>
      <c r="BE295" s="21"/>
      <c r="BF295" s="21"/>
      <c r="BG295" s="21"/>
      <c r="BH295" s="21"/>
      <c r="BI295" s="21"/>
      <c r="BJ295" s="21"/>
    </row>
    <row r="296" spans="1:62" ht="14" x14ac:dyDescent="0.15">
      <c r="A296" s="17">
        <v>282</v>
      </c>
      <c r="B296" s="16" t="s">
        <v>1146</v>
      </c>
      <c r="C296" s="15">
        <v>623241960.39999831</v>
      </c>
      <c r="D296" s="112">
        <v>46051</v>
      </c>
      <c r="E296" s="21" t="s">
        <v>1150</v>
      </c>
      <c r="F296" s="15">
        <v>623241960.39999831</v>
      </c>
      <c r="G296" s="21" t="s">
        <v>62</v>
      </c>
      <c r="H296" s="15">
        <v>0</v>
      </c>
      <c r="I296" s="21" t="s">
        <v>1147</v>
      </c>
      <c r="J296" s="15" t="s">
        <v>1148</v>
      </c>
      <c r="K296" s="21" t="s">
        <v>1143</v>
      </c>
      <c r="L296" s="112">
        <v>46049</v>
      </c>
      <c r="M296" s="163" t="s">
        <v>1151</v>
      </c>
      <c r="N296" s="114">
        <v>44567</v>
      </c>
      <c r="O296" s="115" t="s">
        <v>1152</v>
      </c>
      <c r="P296" s="115" t="s">
        <v>1151</v>
      </c>
      <c r="Q296" s="115" t="s">
        <v>1153</v>
      </c>
      <c r="R296" s="116" t="s">
        <v>1149</v>
      </c>
      <c r="S296" s="115" t="s">
        <v>69</v>
      </c>
      <c r="T296" s="117"/>
      <c r="U296" s="117"/>
      <c r="V296" s="162">
        <v>623241960.38999999</v>
      </c>
      <c r="W296" s="118"/>
      <c r="X296" s="125" t="s">
        <v>1154</v>
      </c>
      <c r="Y296" s="116"/>
      <c r="Z296" s="118"/>
      <c r="AA296" s="118"/>
      <c r="AB296" s="119"/>
      <c r="AC296" s="120"/>
      <c r="AD296" s="121"/>
      <c r="AE296" s="122" t="s">
        <v>1159</v>
      </c>
      <c r="AF296" s="126"/>
      <c r="AG296" s="114"/>
      <c r="AH296" s="21"/>
      <c r="AI296" s="21"/>
      <c r="AJ296" s="21"/>
      <c r="AK296" s="118"/>
      <c r="AL296" s="118"/>
      <c r="AM296" s="123"/>
      <c r="AN296" s="123"/>
      <c r="AO296" s="123"/>
      <c r="AP296" s="123"/>
      <c r="AQ296" s="123"/>
      <c r="AR296" s="123"/>
      <c r="AS296" s="123"/>
      <c r="AT296" s="123"/>
      <c r="AU296" s="123"/>
      <c r="AV296" s="123"/>
      <c r="AW296" s="124"/>
      <c r="AX296" s="124"/>
      <c r="AY296" s="124"/>
      <c r="AZ296" s="124"/>
      <c r="BA296" s="21"/>
      <c r="BB296" s="21"/>
      <c r="BC296" s="21"/>
      <c r="BD296" s="21"/>
      <c r="BE296" s="21"/>
      <c r="BF296" s="21"/>
      <c r="BG296" s="21"/>
      <c r="BH296" s="21"/>
      <c r="BI296" s="21"/>
      <c r="BJ296" s="21"/>
    </row>
    <row r="297" spans="1:62" ht="14" x14ac:dyDescent="0.15">
      <c r="A297" s="17">
        <v>283</v>
      </c>
      <c r="B297" s="16" t="s">
        <v>1155</v>
      </c>
      <c r="C297" s="15">
        <v>68001150</v>
      </c>
      <c r="D297" s="112">
        <v>46059</v>
      </c>
      <c r="E297" s="21" t="s">
        <v>1156</v>
      </c>
      <c r="F297" s="15">
        <v>68001150</v>
      </c>
      <c r="G297" s="21" t="s">
        <v>62</v>
      </c>
      <c r="H297" s="15">
        <v>0</v>
      </c>
      <c r="I297" s="21" t="s">
        <v>1147</v>
      </c>
      <c r="J297" s="15" t="s">
        <v>1148</v>
      </c>
      <c r="K297" s="21" t="s">
        <v>1143</v>
      </c>
      <c r="L297" s="112">
        <v>46057</v>
      </c>
      <c r="M297" s="163" t="s">
        <v>1151</v>
      </c>
      <c r="N297" s="114">
        <v>44567</v>
      </c>
      <c r="O297" s="115" t="s">
        <v>1157</v>
      </c>
      <c r="P297" s="115" t="s">
        <v>1157</v>
      </c>
      <c r="Q297" s="115" t="s">
        <v>1153</v>
      </c>
      <c r="R297" s="116" t="s">
        <v>1158</v>
      </c>
      <c r="S297" s="115" t="s">
        <v>69</v>
      </c>
      <c r="T297" s="117"/>
      <c r="U297" s="117"/>
      <c r="V297" s="162">
        <v>68001150</v>
      </c>
      <c r="W297" s="118"/>
      <c r="X297" s="125" t="s">
        <v>1154</v>
      </c>
      <c r="Y297" s="116"/>
      <c r="Z297" s="118"/>
      <c r="AA297" s="118"/>
      <c r="AB297" s="119"/>
      <c r="AC297" s="120"/>
      <c r="AD297" s="121"/>
      <c r="AE297" s="122" t="s">
        <v>1159</v>
      </c>
      <c r="AF297" s="126"/>
      <c r="AG297" s="114"/>
      <c r="AH297" s="21" t="s">
        <v>326</v>
      </c>
      <c r="AI297" s="21"/>
      <c r="AJ297" s="21"/>
      <c r="AK297" s="118"/>
      <c r="AL297" s="118"/>
      <c r="AM297" s="123"/>
      <c r="AN297" s="123"/>
      <c r="AO297" s="123"/>
      <c r="AP297" s="123"/>
      <c r="AQ297" s="123"/>
      <c r="AR297" s="123"/>
      <c r="AS297" s="123"/>
      <c r="AT297" s="123"/>
      <c r="AU297" s="123"/>
      <c r="AV297" s="123">
        <v>0.1</v>
      </c>
      <c r="AW297" s="124" t="str">
        <f>IF(AK297="","",AK297)</f>
        <v/>
      </c>
      <c r="AX297" s="124" t="str">
        <f>IF(AK297="","",ROUND(AL297/INT(LEFT(AH297,FIND("m",AH297)-1))*50%,0))</f>
        <v/>
      </c>
      <c r="AY297" s="124" t="str">
        <f>IF(AK297="","",ROUND(AL297*40%,2))</f>
        <v/>
      </c>
      <c r="AZ297" s="124" t="str">
        <f>IF(AK297="","",ROUND(AL297*10%,2))</f>
        <v/>
      </c>
      <c r="BA297" s="21"/>
      <c r="BB297" s="21"/>
      <c r="BC297" s="21"/>
      <c r="BD297" s="21"/>
      <c r="BE297" s="21"/>
      <c r="BF297" s="21"/>
      <c r="BG297" s="21"/>
      <c r="BH297" s="21"/>
      <c r="BI297" s="21"/>
      <c r="BJ297" s="21"/>
    </row>
    <row r="298" spans="1:62" ht="14" x14ac:dyDescent="0.15">
      <c r="A298" s="17">
        <v>283</v>
      </c>
      <c r="B298" s="16" t="s">
        <v>1155</v>
      </c>
      <c r="C298" s="15">
        <v>959373700</v>
      </c>
      <c r="D298" s="112">
        <v>46059</v>
      </c>
      <c r="E298" s="21" t="s">
        <v>1156</v>
      </c>
      <c r="F298" s="15">
        <v>959373700</v>
      </c>
      <c r="G298" s="21" t="s">
        <v>62</v>
      </c>
      <c r="H298" s="15">
        <v>0</v>
      </c>
      <c r="I298" s="21" t="s">
        <v>1147</v>
      </c>
      <c r="J298" s="15" t="s">
        <v>1148</v>
      </c>
      <c r="K298" s="21" t="s">
        <v>1143</v>
      </c>
      <c r="L298" s="112">
        <v>46057</v>
      </c>
      <c r="M298" s="163" t="s">
        <v>1151</v>
      </c>
      <c r="N298" s="114">
        <v>44567</v>
      </c>
      <c r="O298" s="115" t="s">
        <v>1152</v>
      </c>
      <c r="P298" s="115" t="s">
        <v>1151</v>
      </c>
      <c r="Q298" s="115" t="s">
        <v>1153</v>
      </c>
      <c r="R298" s="116" t="s">
        <v>1158</v>
      </c>
      <c r="S298" s="115" t="s">
        <v>69</v>
      </c>
      <c r="T298" s="117"/>
      <c r="U298" s="117"/>
      <c r="V298" s="162">
        <v>959373700</v>
      </c>
      <c r="W298" s="118"/>
      <c r="X298" s="125" t="s">
        <v>1154</v>
      </c>
      <c r="Y298" s="116"/>
      <c r="Z298" s="118"/>
      <c r="AA298" s="118"/>
      <c r="AB298" s="119"/>
      <c r="AC298" s="120"/>
      <c r="AD298" s="121"/>
      <c r="AE298" s="122" t="s">
        <v>1159</v>
      </c>
      <c r="AF298" s="126"/>
      <c r="AG298" s="114"/>
      <c r="AH298" s="21" t="s">
        <v>326</v>
      </c>
      <c r="AI298" s="21"/>
      <c r="AJ298" s="21"/>
      <c r="AK298" s="118"/>
      <c r="AL298" s="118"/>
      <c r="AM298" s="123"/>
      <c r="AN298" s="123"/>
      <c r="AO298" s="123"/>
      <c r="AP298" s="123"/>
      <c r="AQ298" s="123"/>
      <c r="AR298" s="123"/>
      <c r="AS298" s="123"/>
      <c r="AT298" s="123"/>
      <c r="AU298" s="123"/>
      <c r="AV298" s="123">
        <v>0.1</v>
      </c>
      <c r="AW298" s="124" t="str">
        <f>IF(AK298="","",AK298)</f>
        <v/>
      </c>
      <c r="AX298" s="124" t="str">
        <f>IF(AK298="","",ROUND(AL298/INT(LEFT(AH298,FIND("m",AH298)-1))*50%,0))</f>
        <v/>
      </c>
      <c r="AY298" s="124" t="str">
        <f>IF(AK298="","",ROUND(AL298*40%,2))</f>
        <v/>
      </c>
      <c r="AZ298" s="124" t="str">
        <f>IF(AK298="","",ROUND(AL298*10%,2))</f>
        <v/>
      </c>
      <c r="BA298" s="21"/>
      <c r="BB298" s="21"/>
      <c r="BC298" s="21"/>
      <c r="BD298" s="21"/>
      <c r="BE298" s="21"/>
      <c r="BF298" s="21"/>
      <c r="BG298" s="21"/>
      <c r="BH298" s="21"/>
      <c r="BI298" s="21"/>
      <c r="BJ298" s="21"/>
    </row>
    <row r="299" spans="1:62" x14ac:dyDescent="0.15">
      <c r="A299" s="17">
        <v>284</v>
      </c>
      <c r="B299" s="16" t="s">
        <v>1160</v>
      </c>
      <c r="C299" s="15">
        <v>2645459182</v>
      </c>
      <c r="D299" s="112">
        <v>46070</v>
      </c>
      <c r="E299" s="21" t="s">
        <v>480</v>
      </c>
      <c r="F299" s="15">
        <v>2645459182</v>
      </c>
      <c r="G299" s="21" t="s">
        <v>62</v>
      </c>
      <c r="H299" s="15">
        <v>0</v>
      </c>
      <c r="I299" s="21" t="s">
        <v>1161</v>
      </c>
      <c r="J299" s="21" t="s">
        <v>64</v>
      </c>
      <c r="K299" s="21" t="s">
        <v>1143</v>
      </c>
      <c r="L299" s="112">
        <v>46070</v>
      </c>
      <c r="M299" s="127">
        <v>2226</v>
      </c>
      <c r="N299" s="114">
        <v>46028</v>
      </c>
      <c r="O299" s="115" t="s">
        <v>66</v>
      </c>
      <c r="P299" s="115" t="s">
        <v>767</v>
      </c>
      <c r="Q299" s="115" t="s">
        <v>1162</v>
      </c>
      <c r="R299" s="116" t="s">
        <v>1163</v>
      </c>
      <c r="S299" s="115" t="s">
        <v>69</v>
      </c>
      <c r="T299" s="117"/>
      <c r="U299" s="117"/>
      <c r="V299" s="162">
        <v>2645459182</v>
      </c>
      <c r="W299" s="118"/>
      <c r="X299" s="125" t="s">
        <v>1154</v>
      </c>
      <c r="Y299" s="116"/>
      <c r="Z299" s="118"/>
      <c r="AA299" s="118"/>
      <c r="AB299" s="119"/>
      <c r="AC299" s="120"/>
      <c r="AD299" s="121"/>
      <c r="AE299" s="122" t="s">
        <v>1159</v>
      </c>
      <c r="AF299" s="126"/>
      <c r="AG299" s="114"/>
      <c r="AH299" s="21"/>
      <c r="AI299" s="21"/>
      <c r="AJ299" s="21"/>
      <c r="AK299" s="118"/>
      <c r="AL299" s="118"/>
      <c r="AM299" s="123"/>
      <c r="AN299" s="123"/>
      <c r="AO299" s="123"/>
      <c r="AP299" s="123"/>
      <c r="AQ299" s="123"/>
      <c r="AR299" s="123"/>
      <c r="AS299" s="123"/>
      <c r="AT299" s="123"/>
      <c r="AU299" s="123"/>
      <c r="AV299" s="123"/>
      <c r="AW299" s="124"/>
      <c r="AX299" s="124"/>
      <c r="AY299" s="124"/>
      <c r="AZ299" s="124"/>
      <c r="BA299" s="21"/>
      <c r="BB299" s="21"/>
      <c r="BC299" s="21"/>
      <c r="BD299" s="21"/>
      <c r="BE299" s="21"/>
      <c r="BF299" s="21"/>
      <c r="BG299" s="21"/>
      <c r="BH299" s="21"/>
      <c r="BI299" s="21"/>
      <c r="BJ299" s="21"/>
    </row>
    <row r="300" spans="1:62" x14ac:dyDescent="0.15">
      <c r="A300" s="17">
        <v>285</v>
      </c>
      <c r="B300" s="16" t="s">
        <v>1142</v>
      </c>
      <c r="C300" s="15">
        <v>748049478</v>
      </c>
      <c r="D300" s="112">
        <v>46083</v>
      </c>
      <c r="E300" s="21" t="s">
        <v>1164</v>
      </c>
      <c r="F300" s="15">
        <v>748049478</v>
      </c>
      <c r="G300" s="21" t="s">
        <v>62</v>
      </c>
      <c r="H300" s="15">
        <v>0</v>
      </c>
      <c r="I300" s="21" t="s">
        <v>489</v>
      </c>
      <c r="J300" s="21" t="s">
        <v>489</v>
      </c>
      <c r="K300" s="21" t="s">
        <v>1143</v>
      </c>
      <c r="L300" s="112">
        <v>46042</v>
      </c>
      <c r="M300" s="127">
        <v>162722</v>
      </c>
      <c r="N300" s="114">
        <v>44916</v>
      </c>
      <c r="O300" s="115" t="s">
        <v>66</v>
      </c>
      <c r="P300" s="115" t="s">
        <v>767</v>
      </c>
      <c r="Q300" s="150" t="s">
        <v>1165</v>
      </c>
      <c r="R300" s="116" t="s">
        <v>1163</v>
      </c>
      <c r="S300" s="115" t="s">
        <v>536</v>
      </c>
      <c r="T300" s="117"/>
      <c r="U300" s="117"/>
      <c r="V300" s="162">
        <v>748049478</v>
      </c>
      <c r="W300" s="118"/>
      <c r="X300" s="125" t="s">
        <v>1352</v>
      </c>
      <c r="Y300" s="118"/>
      <c r="Z300" s="118"/>
      <c r="AA300" s="118"/>
      <c r="AB300" s="119"/>
      <c r="AC300" s="120"/>
      <c r="AD300" s="121"/>
      <c r="AE300" s="122" t="s">
        <v>1159</v>
      </c>
      <c r="AF300" s="126"/>
      <c r="AG300" s="114"/>
      <c r="AH300" s="21"/>
      <c r="AI300" s="21"/>
      <c r="AJ300" s="21"/>
      <c r="AK300" s="118"/>
      <c r="AL300" s="118"/>
      <c r="AM300" s="123"/>
      <c r="AN300" s="123"/>
      <c r="AO300" s="123"/>
      <c r="AP300" s="123"/>
      <c r="AQ300" s="123"/>
      <c r="AR300" s="123"/>
      <c r="AS300" s="123"/>
      <c r="AT300" s="123"/>
      <c r="AU300" s="123"/>
      <c r="AV300" s="123"/>
      <c r="AW300" s="124"/>
      <c r="AX300" s="124"/>
      <c r="AY300" s="124"/>
      <c r="AZ300" s="124"/>
      <c r="BA300" s="21"/>
      <c r="BB300" s="21"/>
      <c r="BC300" s="21"/>
      <c r="BD300" s="21"/>
      <c r="BE300" s="21"/>
      <c r="BF300" s="21"/>
      <c r="BG300" s="21"/>
      <c r="BH300" s="21"/>
      <c r="BI300" s="21"/>
      <c r="BJ300" s="21"/>
    </row>
    <row r="301" spans="1:62" x14ac:dyDescent="0.15">
      <c r="A301" s="17">
        <v>286</v>
      </c>
      <c r="B301" s="16" t="s">
        <v>1166</v>
      </c>
      <c r="C301" s="15">
        <v>409531080</v>
      </c>
      <c r="D301" s="112">
        <v>46070</v>
      </c>
      <c r="E301" s="21" t="s">
        <v>1156</v>
      </c>
      <c r="F301" s="15">
        <f>+C301</f>
        <v>409531080</v>
      </c>
      <c r="G301" s="21" t="s">
        <v>62</v>
      </c>
      <c r="H301" s="15">
        <v>0</v>
      </c>
      <c r="I301" s="21" t="s">
        <v>1161</v>
      </c>
      <c r="J301" s="21" t="s">
        <v>64</v>
      </c>
      <c r="K301" s="21" t="s">
        <v>1143</v>
      </c>
      <c r="L301" s="112">
        <v>46070</v>
      </c>
      <c r="M301" s="163" t="s">
        <v>1152</v>
      </c>
      <c r="N301" s="114">
        <v>46028</v>
      </c>
      <c r="O301" s="115" t="s">
        <v>1152</v>
      </c>
      <c r="P301" s="115" t="s">
        <v>1152</v>
      </c>
      <c r="Q301" s="115" t="s">
        <v>1152</v>
      </c>
      <c r="R301" s="116" t="s">
        <v>1163</v>
      </c>
      <c r="S301" s="115" t="s">
        <v>69</v>
      </c>
      <c r="T301" s="117"/>
      <c r="U301" s="117"/>
      <c r="V301" s="162">
        <v>409531080</v>
      </c>
      <c r="W301" s="118"/>
      <c r="X301" s="125" t="s">
        <v>1167</v>
      </c>
      <c r="Y301" s="116"/>
      <c r="Z301" s="118"/>
      <c r="AA301" s="118"/>
      <c r="AB301" s="119"/>
      <c r="AC301" s="120"/>
      <c r="AD301" s="121"/>
      <c r="AE301" s="122" t="s">
        <v>1159</v>
      </c>
      <c r="AF301" s="126"/>
      <c r="AG301" s="114"/>
      <c r="AH301" s="21"/>
      <c r="AI301" s="21"/>
      <c r="AJ301" s="21"/>
      <c r="AK301" s="118"/>
      <c r="AL301" s="118"/>
      <c r="AM301" s="123"/>
      <c r="AN301" s="123"/>
      <c r="AO301" s="123"/>
      <c r="AP301" s="123"/>
      <c r="AQ301" s="123"/>
      <c r="AR301" s="123"/>
      <c r="AS301" s="123"/>
      <c r="AT301" s="123"/>
      <c r="AU301" s="123"/>
      <c r="AV301" s="123"/>
      <c r="AW301" s="124"/>
      <c r="AX301" s="124"/>
      <c r="AY301" s="124"/>
      <c r="AZ301" s="124"/>
      <c r="BA301" s="21"/>
      <c r="BB301" s="21"/>
      <c r="BC301" s="21"/>
      <c r="BD301" s="21"/>
      <c r="BE301" s="21"/>
      <c r="BF301" s="21"/>
      <c r="BG301" s="21"/>
      <c r="BH301" s="21"/>
      <c r="BI301" s="21"/>
      <c r="BJ301" s="21"/>
    </row>
    <row r="302" spans="1:62" x14ac:dyDescent="0.15">
      <c r="A302" s="17">
        <v>287</v>
      </c>
      <c r="B302" s="16" t="s">
        <v>1168</v>
      </c>
      <c r="C302" s="15">
        <v>4784301590</v>
      </c>
      <c r="D302" s="112">
        <v>46093</v>
      </c>
      <c r="E302" s="21" t="s">
        <v>61</v>
      </c>
      <c r="F302" s="15">
        <v>4784301590</v>
      </c>
      <c r="G302" s="21" t="s">
        <v>62</v>
      </c>
      <c r="H302" s="15">
        <v>0</v>
      </c>
      <c r="I302" s="21" t="s">
        <v>1169</v>
      </c>
      <c r="J302" s="21" t="s">
        <v>1170</v>
      </c>
      <c r="K302" s="21" t="s">
        <v>1143</v>
      </c>
      <c r="L302" s="112">
        <v>46086</v>
      </c>
      <c r="M302" s="164">
        <v>162722</v>
      </c>
      <c r="N302" s="114">
        <v>44916</v>
      </c>
      <c r="O302" s="115" t="s">
        <v>66</v>
      </c>
      <c r="P302" s="115" t="s">
        <v>767</v>
      </c>
      <c r="Q302" s="115" t="s">
        <v>1165</v>
      </c>
      <c r="R302" s="116" t="s">
        <v>1171</v>
      </c>
      <c r="S302" s="115" t="s">
        <v>69</v>
      </c>
      <c r="T302" s="117"/>
      <c r="U302" s="117"/>
      <c r="V302" s="162">
        <v>4784301590</v>
      </c>
      <c r="W302" s="118"/>
      <c r="X302" s="125" t="s">
        <v>1352</v>
      </c>
      <c r="Y302" s="116"/>
      <c r="Z302" s="118"/>
      <c r="AA302" s="118"/>
      <c r="AB302" s="119"/>
      <c r="AC302" s="120"/>
      <c r="AD302" s="121"/>
      <c r="AE302" s="122" t="s">
        <v>1159</v>
      </c>
      <c r="AF302" s="126"/>
      <c r="AG302" s="114"/>
      <c r="AH302" s="21"/>
      <c r="AI302" s="21"/>
      <c r="AJ302" s="21"/>
      <c r="AK302" s="118"/>
      <c r="AL302" s="118"/>
      <c r="AM302" s="123"/>
      <c r="AN302" s="123"/>
      <c r="AO302" s="123"/>
      <c r="AP302" s="123"/>
      <c r="AQ302" s="123"/>
      <c r="AR302" s="123"/>
      <c r="AS302" s="123"/>
      <c r="AT302" s="123"/>
      <c r="AU302" s="123"/>
      <c r="AV302" s="123"/>
      <c r="AW302" s="124"/>
      <c r="AX302" s="124"/>
      <c r="AY302" s="124"/>
      <c r="AZ302" s="124"/>
      <c r="BA302" s="21"/>
      <c r="BB302" s="21"/>
      <c r="BC302" s="21"/>
      <c r="BD302" s="21"/>
      <c r="BE302" s="21"/>
      <c r="BF302" s="21"/>
      <c r="BG302" s="21"/>
      <c r="BH302" s="21"/>
      <c r="BI302" s="21"/>
      <c r="BJ302" s="21"/>
    </row>
    <row r="303" spans="1:62" x14ac:dyDescent="0.15">
      <c r="A303" s="17">
        <v>288</v>
      </c>
      <c r="B303" s="16" t="s">
        <v>1172</v>
      </c>
      <c r="C303" s="15">
        <v>2837407360</v>
      </c>
      <c r="D303" s="112">
        <v>46093</v>
      </c>
      <c r="E303" s="21" t="s">
        <v>61</v>
      </c>
      <c r="F303" s="15">
        <v>2837407360</v>
      </c>
      <c r="G303" s="21" t="s">
        <v>62</v>
      </c>
      <c r="H303" s="15">
        <v>0</v>
      </c>
      <c r="I303" s="21" t="s">
        <v>1173</v>
      </c>
      <c r="J303" s="21" t="s">
        <v>1174</v>
      </c>
      <c r="K303" s="21" t="s">
        <v>1143</v>
      </c>
      <c r="L303" s="112">
        <v>46086</v>
      </c>
      <c r="M303" s="164">
        <v>2226</v>
      </c>
      <c r="N303" s="114">
        <v>46028</v>
      </c>
      <c r="O303" s="115" t="s">
        <v>66</v>
      </c>
      <c r="P303" s="115" t="s">
        <v>767</v>
      </c>
      <c r="Q303" s="115" t="s">
        <v>1175</v>
      </c>
      <c r="R303" s="116" t="s">
        <v>1176</v>
      </c>
      <c r="S303" s="115" t="s">
        <v>69</v>
      </c>
      <c r="T303" s="117"/>
      <c r="U303" s="117"/>
      <c r="V303" s="162">
        <v>2837407360</v>
      </c>
      <c r="W303" s="118"/>
      <c r="X303" s="125" t="s">
        <v>1154</v>
      </c>
      <c r="Y303" s="116"/>
      <c r="Z303" s="118"/>
      <c r="AA303" s="118"/>
      <c r="AB303" s="119"/>
      <c r="AC303" s="120"/>
      <c r="AD303" s="121"/>
      <c r="AE303" s="122" t="s">
        <v>1159</v>
      </c>
      <c r="AF303" s="126"/>
      <c r="AG303" s="114"/>
      <c r="AH303" s="21"/>
      <c r="AI303" s="21"/>
      <c r="AJ303" s="21"/>
      <c r="AK303" s="118"/>
      <c r="AL303" s="118"/>
      <c r="AM303" s="123"/>
      <c r="AN303" s="123"/>
      <c r="AO303" s="123"/>
      <c r="AP303" s="123"/>
      <c r="AQ303" s="123"/>
      <c r="AR303" s="123"/>
      <c r="AS303" s="123"/>
      <c r="AT303" s="123"/>
      <c r="AU303" s="123"/>
      <c r="AV303" s="123"/>
      <c r="AW303" s="124"/>
      <c r="AX303" s="124"/>
      <c r="AY303" s="124"/>
      <c r="AZ303" s="124"/>
      <c r="BA303" s="21"/>
      <c r="BB303" s="21"/>
      <c r="BC303" s="21"/>
      <c r="BD303" s="21"/>
      <c r="BE303" s="21"/>
      <c r="BF303" s="21"/>
      <c r="BG303" s="21"/>
      <c r="BH303" s="21"/>
      <c r="BI303" s="21"/>
      <c r="BJ303" s="21"/>
    </row>
    <row r="304" spans="1:62" x14ac:dyDescent="0.15">
      <c r="A304" s="17">
        <v>289</v>
      </c>
      <c r="B304" s="16" t="s">
        <v>1177</v>
      </c>
      <c r="C304" s="15">
        <v>1715349470</v>
      </c>
      <c r="D304" s="112">
        <v>46155</v>
      </c>
      <c r="E304" s="21" t="s">
        <v>61</v>
      </c>
      <c r="F304" s="15">
        <v>1715349470</v>
      </c>
      <c r="G304" s="21" t="s">
        <v>62</v>
      </c>
      <c r="H304" s="15">
        <v>0</v>
      </c>
      <c r="I304" s="21" t="s">
        <v>1178</v>
      </c>
      <c r="J304" s="21" t="s">
        <v>1179</v>
      </c>
      <c r="K304" s="21" t="s">
        <v>1143</v>
      </c>
      <c r="L304" s="112">
        <v>46086</v>
      </c>
      <c r="M304" s="164">
        <v>2226</v>
      </c>
      <c r="N304" s="114">
        <v>46028</v>
      </c>
      <c r="O304" s="115" t="s">
        <v>66</v>
      </c>
      <c r="P304" s="115" t="s">
        <v>767</v>
      </c>
      <c r="Q304" s="150" t="s">
        <v>1180</v>
      </c>
      <c r="R304" s="116" t="s">
        <v>1181</v>
      </c>
      <c r="S304" s="115" t="s">
        <v>576</v>
      </c>
      <c r="T304" s="117"/>
      <c r="U304" s="117"/>
      <c r="V304" s="162">
        <v>1715349470</v>
      </c>
      <c r="W304" s="118"/>
      <c r="X304" s="125" t="s">
        <v>1154</v>
      </c>
      <c r="Y304" s="116"/>
      <c r="Z304" s="118"/>
      <c r="AA304" s="118"/>
      <c r="AB304" s="119"/>
      <c r="AC304" s="120"/>
      <c r="AD304" s="121"/>
      <c r="AE304" s="122" t="s">
        <v>1159</v>
      </c>
      <c r="AF304" s="126"/>
      <c r="AG304" s="114"/>
      <c r="AH304" s="21"/>
      <c r="AI304" s="21"/>
      <c r="AJ304" s="21"/>
      <c r="AK304" s="118"/>
      <c r="AL304" s="118"/>
      <c r="AM304" s="123"/>
      <c r="AN304" s="123"/>
      <c r="AO304" s="123"/>
      <c r="AP304" s="123"/>
      <c r="AQ304" s="123"/>
      <c r="AR304" s="123"/>
      <c r="AS304" s="123"/>
      <c r="AT304" s="123"/>
      <c r="AU304" s="123"/>
      <c r="AV304" s="123"/>
      <c r="AW304" s="124"/>
      <c r="AX304" s="124"/>
      <c r="AY304" s="124"/>
      <c r="AZ304" s="124"/>
      <c r="BA304" s="21"/>
      <c r="BB304" s="21"/>
      <c r="BC304" s="21"/>
      <c r="BD304" s="21"/>
      <c r="BE304" s="21"/>
      <c r="BF304" s="21"/>
      <c r="BG304" s="21"/>
      <c r="BH304" s="21"/>
      <c r="BI304" s="21"/>
      <c r="BJ304" s="21"/>
    </row>
    <row r="305" spans="1:62" x14ac:dyDescent="0.15">
      <c r="A305" s="17">
        <v>290</v>
      </c>
      <c r="B305" s="16" t="s">
        <v>1182</v>
      </c>
      <c r="C305" s="15">
        <v>1778411458</v>
      </c>
      <c r="D305" s="112">
        <v>46097</v>
      </c>
      <c r="E305" s="21" t="s">
        <v>480</v>
      </c>
      <c r="F305" s="15">
        <v>1778411458</v>
      </c>
      <c r="G305" s="21" t="s">
        <v>62</v>
      </c>
      <c r="H305" s="15">
        <v>0</v>
      </c>
      <c r="I305" s="21" t="s">
        <v>489</v>
      </c>
      <c r="J305" s="21" t="s">
        <v>489</v>
      </c>
      <c r="K305" s="21" t="s">
        <v>1143</v>
      </c>
      <c r="L305" s="112">
        <v>46059</v>
      </c>
      <c r="M305" s="164">
        <v>10822</v>
      </c>
      <c r="N305" s="114">
        <v>44567</v>
      </c>
      <c r="O305" s="115" t="s">
        <v>66</v>
      </c>
      <c r="P305" s="115" t="s">
        <v>767</v>
      </c>
      <c r="Q305" s="115" t="s">
        <v>1165</v>
      </c>
      <c r="R305" s="116" t="s">
        <v>1183</v>
      </c>
      <c r="S305" s="115" t="s">
        <v>69</v>
      </c>
      <c r="T305" s="117"/>
      <c r="U305" s="117"/>
      <c r="V305" s="162">
        <v>1778411458</v>
      </c>
      <c r="W305" s="118"/>
      <c r="X305" s="125" t="s">
        <v>1352</v>
      </c>
      <c r="Y305" s="116"/>
      <c r="Z305" s="118"/>
      <c r="AA305" s="118"/>
      <c r="AB305" s="119"/>
      <c r="AC305" s="120"/>
      <c r="AD305" s="121"/>
      <c r="AE305" s="122" t="s">
        <v>1159</v>
      </c>
      <c r="AF305" s="126"/>
      <c r="AG305" s="114"/>
      <c r="AH305" s="21"/>
      <c r="AI305" s="21"/>
      <c r="AJ305" s="21"/>
      <c r="AK305" s="118"/>
      <c r="AL305" s="118"/>
      <c r="AM305" s="123"/>
      <c r="AN305" s="123"/>
      <c r="AO305" s="123"/>
      <c r="AP305" s="123"/>
      <c r="AQ305" s="123"/>
      <c r="AR305" s="123"/>
      <c r="AS305" s="123"/>
      <c r="AT305" s="123"/>
      <c r="AU305" s="123"/>
      <c r="AV305" s="123"/>
      <c r="AW305" s="124"/>
      <c r="AX305" s="124"/>
      <c r="AY305" s="124"/>
      <c r="AZ305" s="124"/>
      <c r="BA305" s="21"/>
      <c r="BB305" s="21"/>
      <c r="BC305" s="21"/>
      <c r="BD305" s="21"/>
      <c r="BE305" s="21"/>
      <c r="BF305" s="21"/>
      <c r="BG305" s="21"/>
      <c r="BH305" s="21"/>
      <c r="BI305" s="21"/>
      <c r="BJ305" s="21"/>
    </row>
    <row r="306" spans="1:62" x14ac:dyDescent="0.15">
      <c r="A306" s="17">
        <v>291</v>
      </c>
      <c r="B306" s="16" t="s">
        <v>1184</v>
      </c>
      <c r="C306" s="15">
        <v>995872230</v>
      </c>
      <c r="D306" s="112">
        <v>46094</v>
      </c>
      <c r="E306" s="21" t="s">
        <v>85</v>
      </c>
      <c r="F306" s="15">
        <v>995872230</v>
      </c>
      <c r="G306" s="21" t="s">
        <v>62</v>
      </c>
      <c r="H306" s="15">
        <v>0</v>
      </c>
      <c r="I306" s="21" t="s">
        <v>63</v>
      </c>
      <c r="J306" s="21" t="s">
        <v>64</v>
      </c>
      <c r="K306" s="21" t="s">
        <v>1143</v>
      </c>
      <c r="L306" s="112">
        <v>46094</v>
      </c>
      <c r="M306" s="164">
        <v>162722</v>
      </c>
      <c r="N306" s="114">
        <v>44916</v>
      </c>
      <c r="O306" s="115" t="s">
        <v>66</v>
      </c>
      <c r="P306" s="115" t="s">
        <v>767</v>
      </c>
      <c r="Q306" s="115" t="s">
        <v>1185</v>
      </c>
      <c r="R306" s="116" t="s">
        <v>1186</v>
      </c>
      <c r="S306" s="115" t="s">
        <v>69</v>
      </c>
      <c r="T306" s="117"/>
      <c r="U306" s="117"/>
      <c r="V306" s="162">
        <v>995872230</v>
      </c>
      <c r="W306" s="118"/>
      <c r="X306" s="125" t="s">
        <v>1352</v>
      </c>
      <c r="Y306" s="116"/>
      <c r="Z306" s="118"/>
      <c r="AA306" s="118"/>
      <c r="AB306" s="119"/>
      <c r="AC306" s="120"/>
      <c r="AD306" s="121"/>
      <c r="AE306" s="122" t="s">
        <v>1159</v>
      </c>
      <c r="AF306" s="126"/>
      <c r="AG306" s="114"/>
      <c r="AH306" s="21"/>
      <c r="AI306" s="21"/>
      <c r="AJ306" s="21"/>
      <c r="AK306" s="118"/>
      <c r="AL306" s="118"/>
      <c r="AM306" s="123"/>
      <c r="AN306" s="123"/>
      <c r="AO306" s="123"/>
      <c r="AP306" s="123"/>
      <c r="AQ306" s="123"/>
      <c r="AR306" s="123"/>
      <c r="AS306" s="123"/>
      <c r="AT306" s="123"/>
      <c r="AU306" s="123"/>
      <c r="AV306" s="123"/>
      <c r="AW306" s="124"/>
      <c r="AX306" s="124"/>
      <c r="AY306" s="124"/>
      <c r="AZ306" s="124"/>
      <c r="BA306" s="21"/>
      <c r="BB306" s="21"/>
      <c r="BC306" s="21"/>
      <c r="BD306" s="21"/>
      <c r="BE306" s="21"/>
      <c r="BF306" s="21"/>
      <c r="BG306" s="21"/>
      <c r="BH306" s="21"/>
      <c r="BI306" s="21"/>
      <c r="BJ306" s="21"/>
    </row>
    <row r="307" spans="1:62" x14ac:dyDescent="0.15">
      <c r="A307" s="17">
        <v>292</v>
      </c>
      <c r="B307" s="16" t="s">
        <v>1187</v>
      </c>
      <c r="C307" s="15">
        <v>255598550</v>
      </c>
      <c r="D307" s="112">
        <v>46098</v>
      </c>
      <c r="E307" s="21" t="s">
        <v>85</v>
      </c>
      <c r="F307" s="15">
        <v>255598550</v>
      </c>
      <c r="G307" s="21" t="s">
        <v>62</v>
      </c>
      <c r="H307" s="15">
        <v>0</v>
      </c>
      <c r="I307" s="21" t="s">
        <v>489</v>
      </c>
      <c r="J307" s="21" t="s">
        <v>489</v>
      </c>
      <c r="K307" s="21" t="s">
        <v>1143</v>
      </c>
      <c r="L307" s="112">
        <v>46085</v>
      </c>
      <c r="M307" s="164">
        <v>10822</v>
      </c>
      <c r="N307" s="114">
        <v>44567</v>
      </c>
      <c r="O307" s="115" t="s">
        <v>66</v>
      </c>
      <c r="P307" s="115" t="s">
        <v>767</v>
      </c>
      <c r="Q307" s="115" t="s">
        <v>1188</v>
      </c>
      <c r="R307" s="116" t="s">
        <v>1189</v>
      </c>
      <c r="S307" s="115" t="s">
        <v>69</v>
      </c>
      <c r="T307" s="117"/>
      <c r="U307" s="117"/>
      <c r="V307" s="162">
        <v>255598550</v>
      </c>
      <c r="W307" s="118"/>
      <c r="X307" s="125" t="s">
        <v>1352</v>
      </c>
      <c r="Y307" s="116"/>
      <c r="Z307" s="118"/>
      <c r="AA307" s="118"/>
      <c r="AB307" s="119"/>
      <c r="AC307" s="120"/>
      <c r="AD307" s="121"/>
      <c r="AE307" s="122" t="s">
        <v>1159</v>
      </c>
      <c r="AF307" s="126"/>
      <c r="AG307" s="114"/>
      <c r="AH307" s="21"/>
      <c r="AI307" s="21"/>
      <c r="AJ307" s="21"/>
      <c r="AK307" s="118"/>
      <c r="AL307" s="118"/>
      <c r="AM307" s="123"/>
      <c r="AN307" s="123"/>
      <c r="AO307" s="123"/>
      <c r="AP307" s="123"/>
      <c r="AQ307" s="123"/>
      <c r="AR307" s="123"/>
      <c r="AS307" s="123"/>
      <c r="AT307" s="123"/>
      <c r="AU307" s="123"/>
      <c r="AV307" s="123"/>
      <c r="AW307" s="124"/>
      <c r="AX307" s="124"/>
      <c r="AY307" s="124"/>
      <c r="AZ307" s="124"/>
      <c r="BA307" s="21"/>
      <c r="BB307" s="21"/>
      <c r="BC307" s="21"/>
      <c r="BD307" s="21"/>
      <c r="BE307" s="21"/>
      <c r="BF307" s="21"/>
      <c r="BG307" s="21"/>
      <c r="BH307" s="21"/>
      <c r="BI307" s="21"/>
      <c r="BJ307" s="21"/>
    </row>
    <row r="308" spans="1:62" ht="14" x14ac:dyDescent="0.15">
      <c r="A308" s="17">
        <v>293</v>
      </c>
      <c r="B308" s="16" t="s">
        <v>1190</v>
      </c>
      <c r="C308" s="15">
        <v>16089153</v>
      </c>
      <c r="D308" s="112">
        <v>46120</v>
      </c>
      <c r="E308" s="21" t="s">
        <v>61</v>
      </c>
      <c r="F308" s="15">
        <v>16089153</v>
      </c>
      <c r="G308" s="21" t="s">
        <v>62</v>
      </c>
      <c r="H308" s="15">
        <v>0</v>
      </c>
      <c r="I308" s="21" t="s">
        <v>208</v>
      </c>
      <c r="J308" s="21" t="s">
        <v>141</v>
      </c>
      <c r="K308" s="21" t="s">
        <v>1191</v>
      </c>
      <c r="L308" s="112">
        <v>45841</v>
      </c>
      <c r="M308" s="160">
        <v>2226</v>
      </c>
      <c r="N308" s="114">
        <v>46028</v>
      </c>
      <c r="O308" s="115" t="s">
        <v>66</v>
      </c>
      <c r="P308" s="115" t="s">
        <v>767</v>
      </c>
      <c r="Q308" s="115" t="s">
        <v>1165</v>
      </c>
      <c r="R308" s="116" t="s">
        <v>324</v>
      </c>
      <c r="S308" s="115" t="s">
        <v>69</v>
      </c>
      <c r="T308" s="117"/>
      <c r="U308" s="117"/>
      <c r="V308" s="118">
        <v>16089153</v>
      </c>
      <c r="W308" s="118"/>
      <c r="X308" s="125" t="s">
        <v>1154</v>
      </c>
      <c r="Y308" s="116">
        <v>16089153</v>
      </c>
      <c r="Z308" s="118" t="s">
        <v>70</v>
      </c>
      <c r="AA308" s="118"/>
      <c r="AB308" s="119" t="s">
        <v>325</v>
      </c>
      <c r="AC308" s="120">
        <v>44658</v>
      </c>
      <c r="AD308" s="121">
        <v>901581462</v>
      </c>
      <c r="AE308" s="122" t="s">
        <v>1192</v>
      </c>
      <c r="AF308" s="126"/>
      <c r="AG308" s="114"/>
      <c r="AH308" s="21" t="s">
        <v>326</v>
      </c>
      <c r="AI308" s="21"/>
      <c r="AJ308" s="21"/>
      <c r="AK308" s="118">
        <v>0</v>
      </c>
      <c r="AL308" s="118">
        <v>16089153</v>
      </c>
      <c r="AM308" s="123"/>
      <c r="AN308" s="123"/>
      <c r="AO308" s="123"/>
      <c r="AP308" s="123"/>
      <c r="AQ308" s="123"/>
      <c r="AR308" s="123"/>
      <c r="AS308" s="123"/>
      <c r="AT308" s="123"/>
      <c r="AU308" s="123"/>
      <c r="AV308" s="123">
        <v>0.1</v>
      </c>
      <c r="AW308" s="124">
        <v>0</v>
      </c>
      <c r="AX308" s="124"/>
      <c r="AY308" s="124"/>
      <c r="AZ308" s="124"/>
      <c r="BA308" s="21"/>
      <c r="BB308" s="21"/>
      <c r="BC308" s="21"/>
      <c r="BD308" s="21"/>
      <c r="BE308" s="21"/>
      <c r="BF308" s="21"/>
      <c r="BG308" s="21"/>
      <c r="BH308" s="21"/>
      <c r="BI308" s="21"/>
      <c r="BJ308" s="21"/>
    </row>
    <row r="309" spans="1:62" ht="14" x14ac:dyDescent="0.15">
      <c r="A309" s="17">
        <v>294</v>
      </c>
      <c r="B309" s="16" t="s">
        <v>1193</v>
      </c>
      <c r="C309" s="15">
        <v>276678176</v>
      </c>
      <c r="D309" s="112">
        <v>46133</v>
      </c>
      <c r="E309" s="21" t="s">
        <v>85</v>
      </c>
      <c r="F309" s="15">
        <v>276678176</v>
      </c>
      <c r="G309" s="21"/>
      <c r="H309" s="15">
        <v>0</v>
      </c>
      <c r="I309" s="21" t="s">
        <v>401</v>
      </c>
      <c r="J309" s="15" t="s">
        <v>172</v>
      </c>
      <c r="K309" s="21" t="s">
        <v>1143</v>
      </c>
      <c r="L309" s="112">
        <v>46132</v>
      </c>
      <c r="M309" s="165">
        <v>103525</v>
      </c>
      <c r="N309" s="114">
        <v>46010</v>
      </c>
      <c r="O309" s="115" t="s">
        <v>66</v>
      </c>
      <c r="P309" s="115" t="s">
        <v>767</v>
      </c>
      <c r="Q309" s="115" t="s">
        <v>1165</v>
      </c>
      <c r="R309" s="116" t="s">
        <v>1194</v>
      </c>
      <c r="S309" s="115" t="s">
        <v>69</v>
      </c>
      <c r="T309" s="117"/>
      <c r="U309" s="117"/>
      <c r="V309" s="162">
        <v>276678176</v>
      </c>
      <c r="W309" s="118"/>
      <c r="X309" s="125" t="s">
        <v>1154</v>
      </c>
      <c r="Y309" s="116"/>
      <c r="Z309" s="118"/>
      <c r="AA309" s="118"/>
      <c r="AB309" s="119"/>
      <c r="AC309" s="120"/>
      <c r="AD309" s="121"/>
      <c r="AE309" s="122" t="s">
        <v>1159</v>
      </c>
      <c r="AF309" s="126"/>
      <c r="AG309" s="114"/>
      <c r="AH309" s="21"/>
      <c r="AI309" s="21"/>
      <c r="AJ309" s="21"/>
      <c r="AK309" s="118"/>
      <c r="AL309" s="118"/>
      <c r="AM309" s="123"/>
      <c r="AN309" s="123"/>
      <c r="AO309" s="123"/>
      <c r="AP309" s="123"/>
      <c r="AQ309" s="123"/>
      <c r="AR309" s="123"/>
      <c r="AS309" s="123"/>
      <c r="AT309" s="123"/>
      <c r="AU309" s="123"/>
      <c r="AV309" s="123"/>
      <c r="AW309" s="124"/>
      <c r="AX309" s="124"/>
      <c r="AY309" s="124"/>
      <c r="AZ309" s="124"/>
      <c r="BA309" s="21"/>
      <c r="BB309" s="21"/>
      <c r="BC309" s="21"/>
      <c r="BD309" s="21"/>
      <c r="BE309" s="21"/>
      <c r="BF309" s="21"/>
      <c r="BG309" s="21"/>
      <c r="BH309" s="21"/>
      <c r="BI309" s="21"/>
      <c r="BJ309" s="21"/>
    </row>
    <row r="310" spans="1:62" x14ac:dyDescent="0.15">
      <c r="A310" s="17">
        <v>295</v>
      </c>
      <c r="B310" s="16" t="s">
        <v>1195</v>
      </c>
      <c r="C310" s="15">
        <v>144235068</v>
      </c>
      <c r="D310" s="112">
        <v>46205</v>
      </c>
      <c r="E310" s="21" t="s">
        <v>480</v>
      </c>
      <c r="F310" s="15">
        <v>144235068</v>
      </c>
      <c r="G310" s="21"/>
      <c r="H310" s="15">
        <v>0</v>
      </c>
      <c r="I310" s="21" t="s">
        <v>489</v>
      </c>
      <c r="J310" s="21" t="s">
        <v>489</v>
      </c>
      <c r="K310" s="21" t="s">
        <v>1143</v>
      </c>
      <c r="L310" s="112">
        <v>46204</v>
      </c>
      <c r="M310" s="127">
        <v>188421</v>
      </c>
      <c r="N310" s="114">
        <v>44550</v>
      </c>
      <c r="O310" s="115" t="s">
        <v>66</v>
      </c>
      <c r="P310" s="115" t="s">
        <v>767</v>
      </c>
      <c r="Q310" s="115" t="s">
        <v>1165</v>
      </c>
      <c r="R310" s="116" t="s">
        <v>1163</v>
      </c>
      <c r="S310" s="115" t="s">
        <v>69</v>
      </c>
      <c r="T310" s="117"/>
      <c r="U310" s="117"/>
      <c r="V310" s="162">
        <v>144235068</v>
      </c>
      <c r="W310" s="118"/>
      <c r="X310" s="125" t="s">
        <v>1352</v>
      </c>
      <c r="Y310" s="116"/>
      <c r="Z310" s="118"/>
      <c r="AA310" s="118"/>
      <c r="AB310" s="119"/>
      <c r="AC310" s="120"/>
      <c r="AD310" s="121"/>
      <c r="AE310" s="122" t="s">
        <v>1159</v>
      </c>
      <c r="AF310" s="126"/>
      <c r="AG310" s="114"/>
      <c r="AH310" s="21"/>
      <c r="AI310" s="21"/>
      <c r="AJ310" s="21"/>
      <c r="AK310" s="118"/>
      <c r="AL310" s="118"/>
      <c r="AM310" s="123"/>
      <c r="AN310" s="123"/>
      <c r="AO310" s="123"/>
      <c r="AP310" s="123"/>
      <c r="AQ310" s="123"/>
      <c r="AR310" s="123"/>
      <c r="AS310" s="123"/>
      <c r="AT310" s="123"/>
      <c r="AU310" s="123"/>
      <c r="AV310" s="123"/>
      <c r="AW310" s="124"/>
      <c r="AX310" s="124"/>
      <c r="AY310" s="124"/>
      <c r="AZ310" s="124"/>
      <c r="BA310" s="21"/>
      <c r="BB310" s="21"/>
      <c r="BC310" s="21"/>
      <c r="BD310" s="21"/>
      <c r="BE310" s="21"/>
      <c r="BF310" s="21"/>
      <c r="BG310" s="21"/>
      <c r="BH310" s="21"/>
      <c r="BI310" s="21"/>
      <c r="BJ310" s="21"/>
    </row>
    <row r="311" spans="1:62" x14ac:dyDescent="0.15">
      <c r="A311" s="17"/>
      <c r="B311" s="16"/>
      <c r="C311" s="15"/>
      <c r="D311" s="112"/>
      <c r="E311" s="21"/>
      <c r="F311" s="15"/>
      <c r="G311" s="21"/>
      <c r="H311" s="15"/>
      <c r="I311" s="21"/>
      <c r="J311" s="21"/>
      <c r="K311" s="21"/>
      <c r="L311" s="112"/>
      <c r="M311" s="164"/>
      <c r="N311" s="21"/>
      <c r="O311" s="115"/>
      <c r="P311" s="115"/>
      <c r="Q311" s="115"/>
      <c r="R311" s="116"/>
      <c r="S311" s="115"/>
      <c r="T311" s="117"/>
      <c r="U311" s="117"/>
      <c r="V311" s="118"/>
      <c r="W311" s="118"/>
      <c r="X311" s="125" t="s">
        <v>1354</v>
      </c>
      <c r="Y311" s="116"/>
      <c r="Z311" s="118"/>
      <c r="AA311" s="118"/>
      <c r="AB311" s="119"/>
      <c r="AC311" s="120"/>
      <c r="AD311" s="121"/>
      <c r="AE311" s="122"/>
      <c r="AF311" s="126"/>
      <c r="AG311" s="114"/>
      <c r="AH311" s="21"/>
      <c r="AI311" s="21"/>
      <c r="AJ311" s="21"/>
      <c r="AK311" s="118"/>
      <c r="AL311" s="118"/>
      <c r="AM311" s="123"/>
      <c r="AN311" s="123"/>
      <c r="AO311" s="123"/>
      <c r="AP311" s="123"/>
      <c r="AQ311" s="123"/>
      <c r="AR311" s="123"/>
      <c r="AS311" s="123"/>
      <c r="AT311" s="123"/>
      <c r="AU311" s="123"/>
      <c r="AV311" s="123"/>
      <c r="AW311" s="124"/>
      <c r="AX311" s="124"/>
      <c r="AY311" s="124"/>
      <c r="AZ311" s="124"/>
      <c r="BA311" s="21"/>
      <c r="BB311" s="21"/>
      <c r="BC311" s="21"/>
      <c r="BD311" s="21"/>
      <c r="BE311" s="21"/>
      <c r="BF311" s="21"/>
      <c r="BG311" s="21"/>
      <c r="BH311" s="21"/>
      <c r="BI311" s="21"/>
      <c r="BJ311" s="21"/>
    </row>
    <row r="312" spans="1:62" x14ac:dyDescent="0.15">
      <c r="A312" s="17"/>
      <c r="B312" s="16"/>
      <c r="C312" s="15"/>
      <c r="D312" s="112"/>
      <c r="E312" s="21"/>
      <c r="F312" s="15"/>
      <c r="G312" s="21"/>
      <c r="H312" s="15"/>
      <c r="I312" s="21"/>
      <c r="J312" s="21"/>
      <c r="K312" s="21"/>
      <c r="L312" s="112"/>
      <c r="M312" s="164"/>
      <c r="N312" s="21"/>
      <c r="O312" s="115"/>
      <c r="P312" s="115"/>
      <c r="Q312" s="115"/>
      <c r="R312" s="116"/>
      <c r="S312" s="115"/>
      <c r="T312" s="117"/>
      <c r="U312" s="117"/>
      <c r="V312" s="118"/>
      <c r="W312" s="118"/>
      <c r="X312" s="125" t="s">
        <v>1354</v>
      </c>
      <c r="Y312" s="116"/>
      <c r="Z312" s="118"/>
      <c r="AA312" s="118"/>
      <c r="AB312" s="119"/>
      <c r="AC312" s="120"/>
      <c r="AD312" s="121"/>
      <c r="AE312" s="122"/>
      <c r="AF312" s="126"/>
      <c r="AG312" s="114"/>
      <c r="AH312" s="21"/>
      <c r="AI312" s="21"/>
      <c r="AJ312" s="21"/>
      <c r="AK312" s="118"/>
      <c r="AL312" s="118"/>
      <c r="AM312" s="123"/>
      <c r="AN312" s="123"/>
      <c r="AO312" s="123"/>
      <c r="AP312" s="123"/>
      <c r="AQ312" s="123"/>
      <c r="AR312" s="123"/>
      <c r="AS312" s="123"/>
      <c r="AT312" s="123"/>
      <c r="AU312" s="123"/>
      <c r="AV312" s="123"/>
      <c r="AW312" s="124"/>
      <c r="AX312" s="124"/>
      <c r="AY312" s="124"/>
      <c r="AZ312" s="124"/>
      <c r="BA312" s="21"/>
      <c r="BB312" s="21"/>
      <c r="BC312" s="21"/>
      <c r="BD312" s="21"/>
      <c r="BE312" s="21"/>
      <c r="BF312" s="21"/>
      <c r="BG312" s="21"/>
      <c r="BH312" s="21"/>
      <c r="BI312" s="21"/>
      <c r="BJ312" s="21"/>
    </row>
    <row r="313" spans="1:62" x14ac:dyDescent="0.15">
      <c r="A313" s="17"/>
      <c r="B313" s="16"/>
      <c r="C313" s="15"/>
      <c r="D313" s="112"/>
      <c r="E313" s="21"/>
      <c r="F313" s="15"/>
      <c r="G313" s="21"/>
      <c r="H313" s="15"/>
      <c r="I313" s="21"/>
      <c r="J313" s="21"/>
      <c r="K313" s="21"/>
      <c r="L313" s="112"/>
      <c r="M313" s="164"/>
      <c r="N313" s="21"/>
      <c r="O313" s="115"/>
      <c r="P313" s="115"/>
      <c r="Q313" s="115"/>
      <c r="R313" s="116"/>
      <c r="S313" s="115"/>
      <c r="T313" s="117"/>
      <c r="U313" s="117"/>
      <c r="V313" s="118"/>
      <c r="W313" s="118"/>
      <c r="X313" s="125" t="s">
        <v>1354</v>
      </c>
      <c r="Y313" s="116"/>
      <c r="Z313" s="118"/>
      <c r="AA313" s="118"/>
      <c r="AB313" s="119"/>
      <c r="AC313" s="120"/>
      <c r="AD313" s="121"/>
      <c r="AE313" s="122"/>
      <c r="AF313" s="126"/>
      <c r="AG313" s="114"/>
      <c r="AH313" s="21"/>
      <c r="AI313" s="21"/>
      <c r="AJ313" s="21"/>
      <c r="AK313" s="118"/>
      <c r="AL313" s="118"/>
      <c r="AM313" s="123"/>
      <c r="AN313" s="123"/>
      <c r="AO313" s="123"/>
      <c r="AP313" s="123"/>
      <c r="AQ313" s="123"/>
      <c r="AR313" s="123"/>
      <c r="AS313" s="123"/>
      <c r="AT313" s="123"/>
      <c r="AU313" s="123"/>
      <c r="AV313" s="123"/>
      <c r="AW313" s="124"/>
      <c r="AX313" s="124"/>
      <c r="AY313" s="124"/>
      <c r="AZ313" s="124"/>
      <c r="BA313" s="21"/>
      <c r="BB313" s="21"/>
      <c r="BC313" s="21"/>
      <c r="BD313" s="21"/>
      <c r="BE313" s="21"/>
      <c r="BF313" s="21"/>
      <c r="BG313" s="21"/>
      <c r="BH313" s="21"/>
      <c r="BI313" s="21"/>
      <c r="BJ313" s="21"/>
    </row>
    <row r="314" spans="1:62" x14ac:dyDescent="0.15">
      <c r="A314" s="17"/>
      <c r="B314" s="16"/>
      <c r="C314" s="15"/>
      <c r="D314" s="112"/>
      <c r="E314" s="21"/>
      <c r="F314" s="166"/>
      <c r="G314" s="166"/>
      <c r="H314" s="166"/>
      <c r="I314" s="166"/>
      <c r="J314" s="166"/>
      <c r="K314" s="166"/>
      <c r="L314" s="166"/>
      <c r="M314" s="166"/>
      <c r="N314" s="166"/>
      <c r="O314" s="166"/>
      <c r="P314" s="166"/>
      <c r="Q314" s="166"/>
      <c r="R314" s="166"/>
      <c r="S314" s="166"/>
      <c r="T314" s="117"/>
      <c r="U314" s="117"/>
      <c r="V314" s="118"/>
      <c r="W314" s="118"/>
      <c r="X314" s="125" t="s">
        <v>1354</v>
      </c>
      <c r="Y314" s="116"/>
      <c r="Z314" s="118"/>
      <c r="AA314" s="118"/>
      <c r="AB314" s="119"/>
      <c r="AC314" s="120"/>
      <c r="AD314" s="121"/>
      <c r="AE314" s="122"/>
      <c r="AF314" s="126"/>
      <c r="AG314" s="114"/>
      <c r="AH314" s="21"/>
      <c r="AI314" s="21"/>
      <c r="AJ314" s="21"/>
      <c r="AK314" s="118"/>
      <c r="AL314" s="118"/>
      <c r="AM314" s="123"/>
      <c r="AN314" s="123"/>
      <c r="AO314" s="123"/>
      <c r="AP314" s="123"/>
      <c r="AQ314" s="123"/>
      <c r="AR314" s="123"/>
      <c r="AS314" s="123"/>
      <c r="AT314" s="123"/>
      <c r="AU314" s="123"/>
      <c r="AV314" s="123"/>
      <c r="AW314" s="124"/>
      <c r="AX314" s="124"/>
      <c r="AY314" s="124"/>
      <c r="AZ314" s="124"/>
      <c r="BA314" s="21"/>
      <c r="BB314" s="21"/>
      <c r="BC314" s="21"/>
      <c r="BD314" s="21"/>
      <c r="BE314" s="21"/>
      <c r="BF314" s="21"/>
      <c r="BG314" s="21"/>
      <c r="BH314" s="21"/>
      <c r="BI314" s="21"/>
      <c r="BJ314" s="21"/>
    </row>
    <row r="315" spans="1:62" x14ac:dyDescent="0.15">
      <c r="A315" s="17"/>
      <c r="B315" s="16"/>
      <c r="C315" s="15"/>
      <c r="D315" s="112"/>
      <c r="E315" s="21"/>
      <c r="F315" s="15"/>
      <c r="G315" s="21"/>
      <c r="H315" s="15"/>
      <c r="I315" s="21"/>
      <c r="J315" s="21"/>
      <c r="K315" s="21"/>
      <c r="L315" s="112"/>
      <c r="M315" s="164"/>
      <c r="N315" s="21"/>
      <c r="O315" s="115"/>
      <c r="P315" s="115"/>
      <c r="Q315" s="115"/>
      <c r="R315" s="116"/>
      <c r="S315" s="115"/>
      <c r="T315" s="117"/>
      <c r="U315" s="117"/>
      <c r="V315" s="118"/>
      <c r="W315" s="118"/>
      <c r="X315" s="125" t="s">
        <v>1354</v>
      </c>
      <c r="Y315" s="116"/>
      <c r="Z315" s="118"/>
      <c r="AA315" s="118"/>
      <c r="AB315" s="119"/>
      <c r="AC315" s="120"/>
      <c r="AD315" s="121"/>
      <c r="AE315" s="122"/>
      <c r="AF315" s="126"/>
      <c r="AG315" s="114"/>
      <c r="AH315" s="21"/>
      <c r="AI315" s="21"/>
      <c r="AJ315" s="21"/>
      <c r="AK315" s="118"/>
      <c r="AL315" s="118"/>
      <c r="AM315" s="123"/>
      <c r="AN315" s="123"/>
      <c r="AO315" s="123"/>
      <c r="AP315" s="123"/>
      <c r="AQ315" s="123"/>
      <c r="AR315" s="123"/>
      <c r="AS315" s="123"/>
      <c r="AT315" s="123"/>
      <c r="AU315" s="123"/>
      <c r="AV315" s="123"/>
      <c r="AW315" s="124"/>
      <c r="AX315" s="124"/>
      <c r="AY315" s="124"/>
      <c r="AZ315" s="124"/>
      <c r="BA315" s="21"/>
      <c r="BB315" s="21"/>
      <c r="BC315" s="21"/>
      <c r="BD315" s="21"/>
      <c r="BE315" s="21"/>
      <c r="BF315" s="21"/>
      <c r="BG315" s="21"/>
      <c r="BH315" s="21"/>
      <c r="BI315" s="21"/>
      <c r="BJ315" s="21"/>
    </row>
    <row r="316" spans="1:62" x14ac:dyDescent="0.15">
      <c r="A316" s="17"/>
      <c r="B316" s="16"/>
      <c r="C316" s="15"/>
      <c r="D316" s="112"/>
      <c r="E316" s="21"/>
      <c r="F316" s="15"/>
      <c r="G316" s="21"/>
      <c r="H316" s="15"/>
      <c r="I316" s="21"/>
      <c r="J316" s="21"/>
      <c r="K316" s="21"/>
      <c r="L316" s="112"/>
      <c r="M316" s="164"/>
      <c r="N316" s="21"/>
      <c r="O316" s="115"/>
      <c r="P316" s="115"/>
      <c r="Q316" s="115"/>
      <c r="R316" s="116"/>
      <c r="S316" s="115"/>
      <c r="T316" s="117"/>
      <c r="U316" s="117"/>
      <c r="V316" s="118"/>
      <c r="W316" s="118"/>
      <c r="X316" s="118"/>
      <c r="Y316" s="116"/>
      <c r="Z316" s="118"/>
      <c r="AA316" s="118"/>
      <c r="AB316" s="119"/>
      <c r="AC316" s="120"/>
      <c r="AD316" s="121"/>
      <c r="AE316" s="122"/>
      <c r="AF316" s="126"/>
      <c r="AG316" s="114"/>
      <c r="AH316" s="21"/>
      <c r="AI316" s="21"/>
      <c r="AJ316" s="21"/>
      <c r="AK316" s="118"/>
      <c r="AL316" s="118"/>
      <c r="AM316" s="123"/>
      <c r="AN316" s="123"/>
      <c r="AO316" s="123"/>
      <c r="AP316" s="123"/>
      <c r="AQ316" s="123"/>
      <c r="AR316" s="123"/>
      <c r="AS316" s="123"/>
      <c r="AT316" s="123"/>
      <c r="AU316" s="123"/>
      <c r="AV316" s="123"/>
      <c r="AW316" s="124"/>
      <c r="AX316" s="124"/>
      <c r="AY316" s="124"/>
      <c r="AZ316" s="124"/>
      <c r="BA316" s="21"/>
      <c r="BB316" s="21"/>
      <c r="BC316" s="21"/>
      <c r="BD316" s="21"/>
      <c r="BE316" s="21"/>
      <c r="BF316" s="21"/>
      <c r="BG316" s="21"/>
      <c r="BH316" s="21"/>
      <c r="BI316" s="21"/>
      <c r="BJ316" s="21"/>
    </row>
    <row r="317" spans="1:62" x14ac:dyDescent="0.15">
      <c r="A317" s="17"/>
      <c r="B317" s="16"/>
      <c r="C317" s="15"/>
      <c r="D317" s="112"/>
      <c r="E317" s="21"/>
      <c r="F317" s="15"/>
      <c r="G317" s="21"/>
      <c r="H317" s="15"/>
      <c r="I317" s="21"/>
      <c r="J317" s="21"/>
      <c r="K317" s="21"/>
      <c r="L317" s="112"/>
      <c r="M317" s="164"/>
      <c r="N317" s="21"/>
      <c r="O317" s="115"/>
      <c r="P317" s="115"/>
      <c r="Q317" s="115"/>
      <c r="R317" s="116"/>
      <c r="S317" s="115"/>
      <c r="T317" s="117"/>
      <c r="U317" s="117"/>
      <c r="V317" s="118"/>
      <c r="W317" s="118"/>
      <c r="X317" s="118"/>
      <c r="Y317" s="116"/>
      <c r="Z317" s="118"/>
      <c r="AA317" s="118"/>
      <c r="AB317" s="119"/>
      <c r="AC317" s="120"/>
      <c r="AD317" s="121"/>
      <c r="AE317" s="122"/>
      <c r="AF317" s="126"/>
      <c r="AG317" s="114"/>
      <c r="AH317" s="21"/>
      <c r="AI317" s="21"/>
      <c r="AJ317" s="21"/>
      <c r="AK317" s="118"/>
      <c r="AL317" s="118"/>
      <c r="AM317" s="123"/>
      <c r="AN317" s="123"/>
      <c r="AO317" s="123"/>
      <c r="AP317" s="123"/>
      <c r="AQ317" s="123"/>
      <c r="AR317" s="123"/>
      <c r="AS317" s="123"/>
      <c r="AT317" s="123"/>
      <c r="AU317" s="123"/>
      <c r="AV317" s="123"/>
      <c r="AW317" s="124"/>
      <c r="AX317" s="124"/>
      <c r="AY317" s="124"/>
      <c r="AZ317" s="124"/>
      <c r="BA317" s="21"/>
      <c r="BB317" s="21"/>
      <c r="BC317" s="21"/>
      <c r="BD317" s="21"/>
      <c r="BE317" s="21"/>
      <c r="BF317" s="21"/>
      <c r="BG317" s="21"/>
      <c r="BH317" s="21"/>
      <c r="BI317" s="21"/>
      <c r="BJ317" s="21"/>
    </row>
    <row r="318" spans="1:62" ht="14" x14ac:dyDescent="0.15">
      <c r="A318" s="17"/>
      <c r="B318" s="16"/>
      <c r="C318" s="15"/>
      <c r="D318" s="112"/>
      <c r="E318" s="21"/>
      <c r="F318" s="15"/>
      <c r="G318" s="21"/>
      <c r="H318" s="15"/>
      <c r="I318" s="21"/>
      <c r="J318" s="21"/>
      <c r="K318" s="21"/>
      <c r="L318" s="112"/>
      <c r="M318" s="127"/>
      <c r="N318" s="21"/>
      <c r="O318" s="115"/>
      <c r="P318" s="115"/>
      <c r="Q318" s="115"/>
      <c r="R318" s="116"/>
      <c r="S318" s="115"/>
      <c r="T318" s="117"/>
      <c r="U318" s="117"/>
      <c r="V318" s="118"/>
      <c r="W318" s="118"/>
      <c r="X318" s="118" t="s">
        <v>1354</v>
      </c>
      <c r="Y318" s="118"/>
      <c r="Z318" s="118"/>
      <c r="AA318" s="118"/>
      <c r="AB318" s="119"/>
      <c r="AC318" s="120"/>
      <c r="AD318" s="121"/>
      <c r="AE318" s="122"/>
      <c r="AF318" s="126"/>
      <c r="AG318" s="114"/>
      <c r="AH318" s="21"/>
      <c r="AI318" s="21"/>
      <c r="AJ318" s="21"/>
      <c r="AK318" s="118"/>
      <c r="AL318" s="118" t="str">
        <f>IF(AK318="","",V318-AK318)</f>
        <v/>
      </c>
      <c r="AM318" s="123"/>
      <c r="AN318" s="123"/>
      <c r="AO318" s="123"/>
      <c r="AP318" s="123"/>
      <c r="AQ318" s="123"/>
      <c r="AR318" s="123"/>
      <c r="AS318" s="123"/>
      <c r="AT318" s="123"/>
      <c r="AU318" s="123"/>
      <c r="AV318" s="123"/>
      <c r="AW318" s="124"/>
      <c r="AX318" s="124"/>
      <c r="AY318" s="124"/>
      <c r="AZ318" s="124"/>
      <c r="BA318" s="21"/>
      <c r="BB318" s="21"/>
      <c r="BC318" s="21"/>
      <c r="BD318" s="21"/>
      <c r="BE318" s="21"/>
      <c r="BF318" s="21"/>
      <c r="BG318" s="21"/>
      <c r="BH318" s="21"/>
      <c r="BI318" s="21"/>
      <c r="BJ318" s="21"/>
    </row>
    <row r="319" spans="1:62" ht="15.75" customHeight="1" x14ac:dyDescent="0.15">
      <c r="A319" s="21"/>
      <c r="B319" s="167"/>
      <c r="C319" s="168"/>
      <c r="D319" s="167"/>
      <c r="E319" s="21"/>
      <c r="F319" s="169" t="s">
        <v>1196</v>
      </c>
      <c r="G319" s="169"/>
      <c r="H319" s="15"/>
      <c r="I319" s="21"/>
      <c r="J319" s="21"/>
      <c r="K319" s="21"/>
      <c r="L319" s="21"/>
      <c r="M319" s="21"/>
      <c r="N319" s="21"/>
      <c r="O319" s="21"/>
      <c r="P319" s="21"/>
      <c r="Q319" s="21"/>
      <c r="R319" s="21"/>
      <c r="S319" s="21"/>
      <c r="T319" s="120"/>
      <c r="U319" s="120"/>
      <c r="V319" s="118"/>
      <c r="W319" s="118"/>
      <c r="X319" s="118"/>
      <c r="Y319" s="118"/>
      <c r="Z319" s="118"/>
      <c r="AA319" s="118"/>
      <c r="AB319" s="170"/>
      <c r="AC319" s="120"/>
      <c r="AD319" s="121"/>
      <c r="AE319" s="21"/>
      <c r="AF319" s="21"/>
      <c r="AG319" s="21"/>
      <c r="AH319" s="21"/>
      <c r="AI319" s="21"/>
      <c r="AJ319" s="21"/>
      <c r="AK319" s="118"/>
      <c r="AL319" s="118" t="str">
        <f>IF(AK319="","",V319-AK319)</f>
        <v/>
      </c>
      <c r="AM319" s="123"/>
      <c r="AN319" s="123"/>
      <c r="AO319" s="123"/>
      <c r="AP319" s="123"/>
      <c r="AQ319" s="123"/>
      <c r="AR319" s="123"/>
      <c r="AS319" s="123"/>
      <c r="AT319" s="123"/>
      <c r="AU319" s="123"/>
      <c r="AV319" s="123"/>
      <c r="AW319" s="124"/>
      <c r="AX319" s="124"/>
      <c r="AY319" s="124"/>
      <c r="AZ319" s="124"/>
      <c r="BA319" s="21"/>
      <c r="BB319" s="21"/>
      <c r="BC319" s="21"/>
      <c r="BD319" s="21"/>
      <c r="BE319" s="21"/>
      <c r="BF319" s="21"/>
      <c r="BG319" s="21"/>
      <c r="BH319" s="21"/>
      <c r="BI319" s="21"/>
      <c r="BJ319" s="21"/>
    </row>
    <row r="320" spans="1:62" ht="14" x14ac:dyDescent="0.15">
      <c r="F320" s="97" t="s">
        <v>61</v>
      </c>
      <c r="G320" s="98">
        <f>SUMIF(E:E,F320,V:V)</f>
        <v>31701570141.23</v>
      </c>
      <c r="H320" s="2"/>
      <c r="I320" s="22"/>
      <c r="O320" s="3"/>
      <c r="P320" s="3"/>
      <c r="R320" s="4"/>
      <c r="T320" s="6"/>
      <c r="U320" s="6"/>
      <c r="V320" s="5"/>
      <c r="W320" s="5"/>
      <c r="X320" s="5"/>
      <c r="Y320" s="5"/>
      <c r="Z320" s="5"/>
      <c r="AA320" s="5"/>
      <c r="AB320" s="20"/>
      <c r="AC320" s="6"/>
      <c r="AD320" s="7"/>
      <c r="AK320" s="5"/>
      <c r="AL320" s="5" t="str">
        <f>IF(AK320="","",#REF!-AK320)</f>
        <v/>
      </c>
      <c r="AM320" s="8"/>
      <c r="AR320" s="8"/>
      <c r="AS320" s="8"/>
      <c r="AT320" s="8"/>
      <c r="AU320" s="8"/>
      <c r="AV320" s="8"/>
      <c r="AW320" s="9"/>
      <c r="AX320" s="9"/>
      <c r="AY320" s="9"/>
      <c r="AZ320" s="9"/>
    </row>
    <row r="321" spans="2:58" ht="16.5" customHeight="1" x14ac:dyDescent="0.15">
      <c r="B321" s="23" t="s">
        <v>1197</v>
      </c>
      <c r="C321" s="24">
        <v>188527526354.69</v>
      </c>
      <c r="D321" s="22">
        <f>+C321-C323</f>
        <v>171094746701.58002</v>
      </c>
      <c r="F321" s="25" t="s">
        <v>85</v>
      </c>
      <c r="G321" s="15">
        <f>SUMIF(E5:E320,F321,V5:V320)</f>
        <v>10366321140.5</v>
      </c>
      <c r="H321" s="2" t="s">
        <v>1198</v>
      </c>
      <c r="I321" s="22"/>
      <c r="K321" s="19"/>
      <c r="T321" s="6"/>
      <c r="U321" s="6"/>
      <c r="V321" s="5"/>
      <c r="W321" s="5"/>
      <c r="X321" s="26"/>
      <c r="Y321" s="5"/>
      <c r="Z321" s="5"/>
      <c r="AA321" s="5"/>
      <c r="AB321" s="20"/>
      <c r="AC321" s="6"/>
      <c r="AD321" s="7"/>
      <c r="AK321" s="5"/>
      <c r="AL321" s="5"/>
      <c r="AM321" s="8"/>
      <c r="AR321" s="8"/>
      <c r="AS321" s="8"/>
      <c r="AT321" s="8"/>
      <c r="AU321" s="8"/>
      <c r="AV321" s="8"/>
      <c r="AW321" s="9"/>
      <c r="AX321" s="9"/>
      <c r="AY321" s="9"/>
      <c r="AZ321" s="9"/>
    </row>
    <row r="322" spans="2:58" ht="16.5" customHeight="1" x14ac:dyDescent="0.15">
      <c r="B322" s="23" t="s">
        <v>1199</v>
      </c>
      <c r="C322" s="27">
        <f>SUMIF(O:O,O5,V:V)</f>
        <v>155240702792.67001</v>
      </c>
      <c r="F322" s="21" t="s">
        <v>480</v>
      </c>
      <c r="G322" s="15">
        <f>SUMIF(E5:E320,F322,V5:V320)</f>
        <v>94134271262.610001</v>
      </c>
      <c r="H322" s="2" t="s">
        <v>1200</v>
      </c>
      <c r="I322" s="22"/>
      <c r="K322" s="28"/>
      <c r="Q322" s="28"/>
      <c r="R322" s="28"/>
      <c r="S322" s="28"/>
      <c r="T322" s="6"/>
      <c r="U322" s="6"/>
      <c r="V322" s="5"/>
      <c r="W322" s="5"/>
      <c r="X322" s="26"/>
      <c r="Y322" s="5"/>
      <c r="Z322" s="5"/>
      <c r="AA322" s="5"/>
      <c r="AB322" s="20"/>
      <c r="AC322" s="6"/>
      <c r="AD322" s="7"/>
      <c r="AK322" s="5"/>
      <c r="AL322" s="5" t="str">
        <f t="shared" ref="AL322:AL384" si="47">IF(AK322="","",V322-AK322)</f>
        <v/>
      </c>
      <c r="AM322" s="8"/>
      <c r="AR322" s="8"/>
      <c r="AS322" s="8"/>
      <c r="AT322" s="8"/>
      <c r="AU322" s="8"/>
      <c r="AV322" s="8"/>
      <c r="AW322" s="9"/>
      <c r="AX322" s="9"/>
      <c r="AY322" s="9"/>
      <c r="AZ322" s="9"/>
    </row>
    <row r="323" spans="2:58" ht="17.25" customHeight="1" x14ac:dyDescent="0.15">
      <c r="B323" s="29" t="s">
        <v>1201</v>
      </c>
      <c r="C323" s="27">
        <v>17432779653.110001</v>
      </c>
      <c r="F323" s="21" t="s">
        <v>735</v>
      </c>
      <c r="G323" s="15">
        <f ca="1">SUMIF(E7:E307,F323,V7:V306)</f>
        <v>2319779093.9000001</v>
      </c>
      <c r="H323" s="2"/>
      <c r="T323" s="6"/>
      <c r="U323" s="6"/>
      <c r="V323" s="5"/>
      <c r="W323" s="5"/>
      <c r="X323" s="26"/>
      <c r="Y323" s="5"/>
      <c r="Z323" s="5"/>
      <c r="AA323" s="5"/>
      <c r="AB323" s="20"/>
      <c r="AC323" s="6"/>
      <c r="AD323" s="7"/>
      <c r="AK323" s="5"/>
      <c r="AL323" s="5" t="str">
        <f t="shared" si="47"/>
        <v/>
      </c>
      <c r="AM323" s="8"/>
      <c r="AR323" s="8"/>
      <c r="AS323" s="8"/>
      <c r="AT323" s="8"/>
      <c r="AU323" s="8"/>
      <c r="AV323" s="8"/>
      <c r="AW323" s="9"/>
      <c r="AX323" s="9"/>
      <c r="AY323" s="9"/>
      <c r="AZ323" s="9"/>
    </row>
    <row r="324" spans="2:58" ht="17" customHeight="1" x14ac:dyDescent="0.15">
      <c r="B324" s="30" t="s">
        <v>1202</v>
      </c>
      <c r="C324" s="31">
        <f>C321-C322-C323</f>
        <v>15854043908.909988</v>
      </c>
      <c r="D324" s="22"/>
      <c r="F324" s="21" t="s">
        <v>573</v>
      </c>
      <c r="G324" s="15">
        <f ca="1">SUMIF(E6:E306,F324,V6:V305)</f>
        <v>15970711676.43</v>
      </c>
      <c r="H324" s="2"/>
      <c r="T324" s="6"/>
      <c r="U324" s="6"/>
      <c r="V324" s="5"/>
      <c r="W324" s="5"/>
      <c r="X324" s="26"/>
      <c r="Y324" s="5"/>
      <c r="Z324" s="5"/>
      <c r="AA324" s="5"/>
      <c r="AB324" s="20"/>
      <c r="AC324" s="6"/>
      <c r="AD324" s="7"/>
      <c r="AK324" s="5"/>
      <c r="AL324" s="5"/>
      <c r="AM324" s="8"/>
      <c r="AR324" s="8"/>
      <c r="AS324" s="8"/>
      <c r="AT324" s="8"/>
      <c r="AU324" s="8"/>
      <c r="AV324" s="8"/>
      <c r="AW324" s="9"/>
      <c r="AX324" s="9"/>
      <c r="AY324" s="9"/>
      <c r="AZ324" s="9"/>
    </row>
    <row r="325" spans="2:58" ht="17" customHeight="1" x14ac:dyDescent="0.15">
      <c r="B325" s="29" t="s">
        <v>1203</v>
      </c>
      <c r="C325" s="32">
        <f>+K356</f>
        <v>584901225.31000185</v>
      </c>
      <c r="F325" s="21" t="s">
        <v>1164</v>
      </c>
      <c r="G325" s="15">
        <f ca="1">SUMIF(E7:E307,F325,V7:V306)</f>
        <v>748049478</v>
      </c>
      <c r="H325" s="2"/>
      <c r="T325" s="6"/>
      <c r="U325" s="6"/>
      <c r="V325" s="5"/>
      <c r="W325" s="5"/>
      <c r="X325" s="26"/>
      <c r="Y325" s="5"/>
      <c r="Z325" s="5"/>
      <c r="AA325" s="5"/>
      <c r="AB325" s="20"/>
      <c r="AC325" s="6"/>
      <c r="AD325" s="7"/>
      <c r="AK325" s="5"/>
      <c r="AL325" s="5"/>
      <c r="AM325" s="8"/>
      <c r="AR325" s="8"/>
      <c r="AS325" s="8"/>
      <c r="AT325" s="8"/>
      <c r="AU325" s="8"/>
      <c r="AV325" s="8"/>
      <c r="AW325" s="9"/>
      <c r="AX325" s="9"/>
      <c r="AY325" s="9"/>
      <c r="AZ325" s="9"/>
    </row>
    <row r="326" spans="2:58" ht="17" customHeight="1" x14ac:dyDescent="0.15">
      <c r="B326" s="29" t="s">
        <v>1204</v>
      </c>
      <c r="C326" s="27">
        <f>+C324+C325</f>
        <v>16438945134.21999</v>
      </c>
      <c r="F326" s="21" t="s">
        <v>1205</v>
      </c>
      <c r="G326" s="33">
        <f ca="1">SUM(G320:G325)</f>
        <v>155240702792.66998</v>
      </c>
      <c r="H326" s="2"/>
      <c r="T326" s="6"/>
      <c r="U326" s="6"/>
      <c r="V326" s="5"/>
      <c r="W326" s="5"/>
      <c r="X326" s="26"/>
      <c r="Y326" s="5"/>
      <c r="Z326" s="5"/>
      <c r="AA326" s="5"/>
      <c r="AB326" s="20"/>
      <c r="AC326" s="6"/>
      <c r="AD326" s="7"/>
      <c r="AK326" s="5"/>
      <c r="AL326" s="5"/>
      <c r="AM326" s="8"/>
      <c r="AR326" s="8"/>
      <c r="AS326" s="8"/>
      <c r="AT326" s="8"/>
      <c r="AU326" s="8"/>
      <c r="AV326" s="8"/>
      <c r="AW326" s="9"/>
      <c r="AX326" s="9"/>
      <c r="AY326" s="9"/>
      <c r="AZ326" s="9"/>
    </row>
    <row r="327" spans="2:58" ht="17" customHeight="1" x14ac:dyDescent="0.15">
      <c r="B327" s="29" t="s">
        <v>1206</v>
      </c>
      <c r="C327" s="27">
        <f>SUMIF(O:O,O153,V:V)</f>
        <v>3913129434.6499996</v>
      </c>
      <c r="F327" s="21" t="s">
        <v>1207</v>
      </c>
      <c r="G327" s="34">
        <f>+C323</f>
        <v>17432779653.110001</v>
      </c>
      <c r="H327" s="2"/>
      <c r="T327" s="6"/>
      <c r="U327" s="6"/>
      <c r="V327" s="5"/>
      <c r="W327" s="5"/>
      <c r="X327" s="26"/>
      <c r="Y327" s="5"/>
      <c r="Z327" s="5"/>
      <c r="AA327" s="5"/>
      <c r="AB327" s="20"/>
      <c r="AC327" s="6"/>
      <c r="AD327" s="7"/>
      <c r="AK327" s="5"/>
      <c r="AL327" s="5"/>
      <c r="AM327" s="8"/>
      <c r="AR327" s="8"/>
      <c r="AS327" s="8"/>
      <c r="AT327" s="8"/>
      <c r="AU327" s="8"/>
      <c r="AV327" s="8"/>
      <c r="AW327" s="9"/>
      <c r="AX327" s="9"/>
      <c r="AY327" s="9"/>
      <c r="AZ327" s="9"/>
    </row>
    <row r="328" spans="2:58" ht="14" x14ac:dyDescent="0.15">
      <c r="F328" s="21" t="s">
        <v>1208</v>
      </c>
      <c r="G328" s="15">
        <f ca="1">+G326+G327</f>
        <v>172673482445.77997</v>
      </c>
      <c r="H328" s="2"/>
      <c r="V328" s="35"/>
      <c r="X328" s="26"/>
      <c r="AA328" s="5"/>
      <c r="AB328" s="20"/>
      <c r="AC328" s="6"/>
      <c r="AD328" s="7"/>
      <c r="AK328" s="5"/>
      <c r="AL328" s="5" t="str">
        <f t="shared" si="47"/>
        <v/>
      </c>
      <c r="AM328" s="8"/>
      <c r="AR328" s="8"/>
      <c r="AS328" s="8"/>
      <c r="AT328" s="8"/>
      <c r="AU328" s="8"/>
      <c r="AV328" s="8"/>
      <c r="AW328" s="9"/>
      <c r="AX328" s="9"/>
      <c r="AY328" s="9"/>
      <c r="AZ328" s="9"/>
      <c r="BC328" s="35"/>
      <c r="BF328" s="9"/>
    </row>
    <row r="329" spans="2:58" ht="14" x14ac:dyDescent="0.15">
      <c r="B329" s="29" t="s">
        <v>1209</v>
      </c>
      <c r="C329" s="36">
        <f>+H363</f>
        <v>1187478096</v>
      </c>
      <c r="H329" s="2"/>
      <c r="V329" s="35"/>
      <c r="X329" s="26"/>
      <c r="AA329" s="5"/>
      <c r="AB329" s="20"/>
      <c r="AC329" s="6"/>
      <c r="AD329" s="7"/>
      <c r="AK329" s="5"/>
      <c r="AL329" s="5" t="str">
        <f t="shared" si="47"/>
        <v/>
      </c>
      <c r="AM329" s="8"/>
      <c r="AR329" s="8"/>
      <c r="AS329" s="8"/>
      <c r="AT329" s="8"/>
      <c r="AU329" s="8"/>
      <c r="AV329" s="8"/>
      <c r="AW329" s="9"/>
      <c r="AX329" s="9"/>
      <c r="AY329" s="9"/>
      <c r="AZ329" s="9"/>
      <c r="BF329" s="9"/>
    </row>
    <row r="330" spans="2:58" ht="14" x14ac:dyDescent="0.15">
      <c r="H330" s="2"/>
      <c r="V330" s="35"/>
      <c r="X330" s="26"/>
      <c r="AA330" s="5"/>
      <c r="AB330" s="20"/>
      <c r="AC330" s="6"/>
      <c r="AD330" s="7"/>
      <c r="AK330" s="5"/>
      <c r="AL330" s="5" t="str">
        <f t="shared" si="47"/>
        <v/>
      </c>
      <c r="AM330" s="8"/>
      <c r="AR330" s="8"/>
      <c r="AS330" s="8"/>
      <c r="AT330" s="8"/>
      <c r="AU330" s="8"/>
      <c r="AV330" s="8"/>
      <c r="AW330" s="9"/>
      <c r="AX330" s="9"/>
      <c r="AY330" s="9"/>
      <c r="AZ330" s="9"/>
      <c r="BF330" s="9"/>
    </row>
    <row r="331" spans="2:58" ht="14" x14ac:dyDescent="0.15">
      <c r="F331" s="21" t="s">
        <v>1210</v>
      </c>
      <c r="G331" s="37">
        <f ca="1">+C321-G328</f>
        <v>15854043908.910034</v>
      </c>
      <c r="V331" s="35"/>
      <c r="X331" s="26"/>
      <c r="AA331" s="5"/>
      <c r="AB331" s="20"/>
      <c r="AC331" s="6"/>
      <c r="AD331" s="7"/>
      <c r="AK331" s="5"/>
      <c r="AL331" s="5" t="str">
        <f t="shared" si="47"/>
        <v/>
      </c>
      <c r="AM331" s="8"/>
      <c r="AR331" s="8"/>
      <c r="AS331" s="8"/>
      <c r="AT331" s="8"/>
      <c r="AU331" s="8"/>
      <c r="AV331" s="8"/>
      <c r="AW331" s="9"/>
      <c r="AX331" s="9"/>
      <c r="AY331" s="9"/>
      <c r="AZ331" s="9"/>
      <c r="BF331" s="9"/>
    </row>
    <row r="332" spans="2:58" x14ac:dyDescent="0.15">
      <c r="F332" s="21" t="s">
        <v>1203</v>
      </c>
      <c r="G332" s="38">
        <f>+K356</f>
        <v>584901225.31000185</v>
      </c>
      <c r="V332" s="35"/>
      <c r="X332" s="26"/>
      <c r="AA332" s="5"/>
      <c r="AB332" s="20"/>
      <c r="AC332" s="6"/>
      <c r="AD332" s="7"/>
      <c r="AK332" s="5"/>
      <c r="AL332" s="5"/>
      <c r="AM332" s="8"/>
      <c r="AR332" s="8"/>
      <c r="AS332" s="8"/>
      <c r="AT332" s="8"/>
      <c r="AU332" s="8"/>
      <c r="AV332" s="8"/>
      <c r="AW332" s="9"/>
      <c r="AX332" s="9"/>
      <c r="AY332" s="9"/>
      <c r="AZ332" s="9"/>
      <c r="BF332" s="9"/>
    </row>
    <row r="333" spans="2:58" ht="15" x14ac:dyDescent="0.2">
      <c r="B333" s="39" t="s">
        <v>1211</v>
      </c>
      <c r="C333" s="40">
        <f ca="1">+C339+C338+C337+C336+C335+C334</f>
        <v>157300850683.06</v>
      </c>
      <c r="D333" s="11"/>
      <c r="F333" s="21" t="s">
        <v>1212</v>
      </c>
      <c r="G333" s="15">
        <f ca="1">+G331+G332</f>
        <v>16438945134.220036</v>
      </c>
      <c r="V333" s="35"/>
      <c r="X333" s="26"/>
      <c r="AA333" s="5"/>
      <c r="AB333" s="20"/>
      <c r="AC333" s="6"/>
      <c r="AD333" s="7"/>
      <c r="AK333" s="5"/>
      <c r="AL333" s="5"/>
      <c r="AM333" s="8"/>
      <c r="AR333" s="8"/>
      <c r="AS333" s="8"/>
      <c r="AT333" s="8"/>
      <c r="AU333" s="8"/>
      <c r="AV333" s="8"/>
      <c r="AW333" s="9"/>
      <c r="AX333" s="9"/>
      <c r="AY333" s="9"/>
      <c r="AZ333" s="9"/>
      <c r="BF333" s="9"/>
    </row>
    <row r="334" spans="2:58" ht="15" x14ac:dyDescent="0.2">
      <c r="B334" s="41" t="s">
        <v>61</v>
      </c>
      <c r="C334" s="42">
        <f>+G320</f>
        <v>31701570141.23</v>
      </c>
      <c r="D334" s="11"/>
      <c r="G334" s="15"/>
      <c r="V334" s="35"/>
      <c r="X334" s="26"/>
      <c r="AA334" s="5"/>
      <c r="AB334" s="20"/>
      <c r="AC334" s="6"/>
      <c r="AD334" s="7"/>
      <c r="AK334" s="5"/>
      <c r="AL334" s="5"/>
      <c r="AM334" s="8"/>
      <c r="AR334" s="8"/>
      <c r="AS334" s="8"/>
      <c r="AT334" s="8"/>
      <c r="AU334" s="8"/>
      <c r="AV334" s="8"/>
      <c r="AW334" s="9"/>
      <c r="AX334" s="9"/>
      <c r="AY334" s="9"/>
      <c r="AZ334" s="9"/>
      <c r="BF334" s="9"/>
    </row>
    <row r="335" spans="2:58" ht="15" x14ac:dyDescent="0.2">
      <c r="B335" s="43" t="s">
        <v>85</v>
      </c>
      <c r="C335" s="44">
        <f ca="1">+G321+G342</f>
        <v>11803227070.5</v>
      </c>
      <c r="D335" s="11"/>
      <c r="E335" s="35"/>
      <c r="F335" s="21" t="s">
        <v>1213</v>
      </c>
      <c r="G335" s="15">
        <v>734052680.90999985</v>
      </c>
      <c r="V335" s="35"/>
      <c r="X335" s="26"/>
      <c r="AA335" s="5"/>
      <c r="AB335" s="20"/>
      <c r="AC335" s="6"/>
      <c r="AD335" s="7"/>
      <c r="AK335" s="5"/>
      <c r="AL335" s="5"/>
      <c r="AM335" s="8"/>
      <c r="AR335" s="8"/>
      <c r="AS335" s="8"/>
      <c r="AT335" s="8"/>
      <c r="AU335" s="8"/>
      <c r="AV335" s="8"/>
      <c r="AW335" s="9"/>
      <c r="AX335" s="9"/>
      <c r="AY335" s="9"/>
      <c r="AZ335" s="9"/>
      <c r="BF335" s="9"/>
    </row>
    <row r="336" spans="2:58" ht="27.5" customHeight="1" x14ac:dyDescent="0.2">
      <c r="B336" s="43" t="s">
        <v>480</v>
      </c>
      <c r="C336" s="44">
        <f ca="1">+G322+G341</f>
        <v>94757513223</v>
      </c>
      <c r="D336" s="11"/>
      <c r="F336" s="21" t="s">
        <v>1214</v>
      </c>
      <c r="G336" s="15">
        <v>626986849</v>
      </c>
      <c r="V336" s="35"/>
      <c r="X336" s="26"/>
      <c r="AA336" s="5"/>
      <c r="AB336" s="20"/>
      <c r="AC336" s="6"/>
      <c r="AD336" s="7"/>
      <c r="AK336" s="5"/>
      <c r="AL336" s="5"/>
      <c r="AM336" s="8"/>
      <c r="AR336" s="8"/>
      <c r="AS336" s="8"/>
      <c r="AT336" s="8"/>
      <c r="AU336" s="8"/>
      <c r="AV336" s="8"/>
      <c r="AW336" s="9"/>
      <c r="AX336" s="9"/>
      <c r="AY336" s="9"/>
      <c r="AZ336" s="9"/>
      <c r="BF336" s="9"/>
    </row>
    <row r="337" spans="2:58" ht="27.5" customHeight="1" x14ac:dyDescent="0.2">
      <c r="B337" s="45" t="s">
        <v>735</v>
      </c>
      <c r="C337" s="46">
        <f ca="1">+G323</f>
        <v>2319779093.9000001</v>
      </c>
      <c r="D337" s="11"/>
      <c r="F337" s="21" t="s">
        <v>1215</v>
      </c>
      <c r="G337" s="15">
        <v>14493004379</v>
      </c>
      <c r="V337" s="35"/>
      <c r="X337" s="26"/>
      <c r="AA337" s="5"/>
      <c r="AB337" s="20"/>
      <c r="AC337" s="6"/>
      <c r="AD337" s="7"/>
      <c r="AK337" s="5"/>
      <c r="AL337" s="5"/>
      <c r="AM337" s="8"/>
      <c r="AR337" s="8"/>
      <c r="AS337" s="8"/>
      <c r="AT337" s="8"/>
      <c r="AU337" s="8"/>
      <c r="AV337" s="8"/>
      <c r="AW337" s="9"/>
      <c r="AX337" s="9"/>
      <c r="AY337" s="9"/>
      <c r="AZ337" s="9"/>
      <c r="BF337" s="9"/>
    </row>
    <row r="338" spans="2:58" ht="27.5" customHeight="1" x14ac:dyDescent="0.2">
      <c r="B338" s="45" t="s">
        <v>573</v>
      </c>
      <c r="C338" s="46">
        <f ca="1">+G324</f>
        <v>15970711676.43</v>
      </c>
      <c r="D338" s="11"/>
      <c r="F338" s="21" t="s">
        <v>1216</v>
      </c>
      <c r="G338" s="37">
        <f>+G335+G336+G337</f>
        <v>15854043908.91</v>
      </c>
      <c r="V338" s="35"/>
      <c r="X338" s="26"/>
      <c r="AA338" s="5"/>
      <c r="AB338" s="20"/>
      <c r="AC338" s="6"/>
      <c r="AD338" s="7"/>
      <c r="AK338" s="5"/>
      <c r="AL338" s="5"/>
      <c r="AM338" s="8"/>
      <c r="AR338" s="8"/>
      <c r="AS338" s="8"/>
      <c r="AT338" s="8"/>
      <c r="AU338" s="8"/>
      <c r="AV338" s="8"/>
      <c r="AW338" s="9"/>
      <c r="AX338" s="9"/>
      <c r="AY338" s="9"/>
      <c r="AZ338" s="9"/>
      <c r="BF338" s="9"/>
    </row>
    <row r="339" spans="2:58" ht="27.5" customHeight="1" x14ac:dyDescent="0.2">
      <c r="B339" s="47" t="s">
        <v>1164</v>
      </c>
      <c r="C339" s="48">
        <f ca="1">+G325</f>
        <v>748049478</v>
      </c>
      <c r="D339" s="11"/>
      <c r="F339" s="171" t="s">
        <v>1217</v>
      </c>
      <c r="G339" s="172"/>
      <c r="V339" s="35"/>
      <c r="X339" s="26"/>
      <c r="AA339" s="5"/>
      <c r="AB339" s="20"/>
      <c r="AC339" s="6"/>
      <c r="AD339" s="7"/>
      <c r="AK339" s="5"/>
      <c r="AL339" s="5"/>
      <c r="AM339" s="8"/>
      <c r="AR339" s="8"/>
      <c r="AS339" s="8"/>
      <c r="AT339" s="8"/>
      <c r="AU339" s="8"/>
      <c r="AV339" s="8"/>
      <c r="AW339" s="9"/>
      <c r="AX339" s="9"/>
      <c r="AY339" s="9"/>
      <c r="AZ339" s="9"/>
      <c r="BF339" s="9"/>
    </row>
    <row r="340" spans="2:58" ht="14" x14ac:dyDescent="0.15">
      <c r="F340" s="1" t="s">
        <v>1218</v>
      </c>
      <c r="V340" s="35"/>
      <c r="AA340" s="5"/>
      <c r="AB340" s="20"/>
      <c r="AC340" s="6"/>
      <c r="AD340" s="7"/>
      <c r="AK340" s="5"/>
      <c r="AL340" s="5" t="str">
        <f t="shared" si="47"/>
        <v/>
      </c>
      <c r="AM340" s="8"/>
      <c r="AR340" s="8"/>
      <c r="AS340" s="8"/>
      <c r="AT340" s="8"/>
      <c r="AU340" s="8"/>
      <c r="AV340" s="8"/>
      <c r="AW340" s="9"/>
      <c r="AX340" s="9"/>
      <c r="AY340" s="9"/>
      <c r="AZ340" s="9"/>
      <c r="BF340" s="9"/>
    </row>
    <row r="341" spans="2:58" x14ac:dyDescent="0.15">
      <c r="F341" s="21" t="s">
        <v>1150</v>
      </c>
      <c r="G341" s="15">
        <f ca="1">SUMIF(E6:E306,F341,V6:V305)</f>
        <v>623241960.38999999</v>
      </c>
      <c r="H341" s="1" t="s">
        <v>1198</v>
      </c>
      <c r="V341" s="35"/>
      <c r="AA341" s="5"/>
      <c r="AB341" s="20"/>
      <c r="AC341" s="6"/>
      <c r="AD341" s="7"/>
      <c r="AK341" s="5"/>
      <c r="AL341" s="5"/>
      <c r="AM341" s="8"/>
      <c r="AR341" s="8"/>
      <c r="AS341" s="8"/>
      <c r="AT341" s="8"/>
      <c r="AU341" s="8"/>
      <c r="AV341" s="8"/>
      <c r="AW341" s="9"/>
      <c r="AX341" s="9"/>
      <c r="AY341" s="9"/>
      <c r="AZ341" s="9"/>
      <c r="BF341" s="9"/>
    </row>
    <row r="342" spans="2:58" x14ac:dyDescent="0.15">
      <c r="F342" s="25" t="s">
        <v>1156</v>
      </c>
      <c r="G342" s="15">
        <f ca="1">SUMIF(E4:E304,F342,V4:V303)</f>
        <v>1436905930</v>
      </c>
      <c r="H342" s="1" t="s">
        <v>1200</v>
      </c>
      <c r="I342" s="15">
        <v>190687138.21998978</v>
      </c>
      <c r="J342" s="49">
        <f>+I342+H363</f>
        <v>1378165234.2199898</v>
      </c>
      <c r="V342" s="35"/>
      <c r="AA342" s="5"/>
      <c r="AB342" s="20"/>
      <c r="AC342" s="6"/>
      <c r="AD342" s="7"/>
      <c r="AK342" s="5"/>
      <c r="AL342" s="5"/>
      <c r="AM342" s="8"/>
      <c r="AR342" s="8"/>
      <c r="AS342" s="8"/>
      <c r="AT342" s="8"/>
      <c r="AU342" s="8"/>
      <c r="AV342" s="8"/>
      <c r="AW342" s="9"/>
      <c r="AX342" s="9"/>
      <c r="AY342" s="9"/>
      <c r="AZ342" s="9"/>
      <c r="BF342" s="9"/>
    </row>
    <row r="343" spans="2:58" ht="15" x14ac:dyDescent="0.2">
      <c r="B343" s="39" t="s">
        <v>1219</v>
      </c>
      <c r="C343" s="40">
        <f>+C344+C345+C346</f>
        <v>188527526354.68909</v>
      </c>
      <c r="F343" s="50" t="s">
        <v>1220</v>
      </c>
      <c r="G343" s="51">
        <f ca="1">+G341+G342</f>
        <v>2060147890.3899999</v>
      </c>
      <c r="V343" s="35"/>
      <c r="AA343" s="5"/>
      <c r="AB343" s="20"/>
      <c r="AC343" s="6"/>
      <c r="AD343" s="7"/>
      <c r="AK343" s="5"/>
      <c r="AL343" s="5"/>
      <c r="AM343" s="8"/>
      <c r="AR343" s="8"/>
      <c r="AS343" s="8"/>
      <c r="AT343" s="8"/>
      <c r="AU343" s="8"/>
      <c r="AV343" s="8"/>
      <c r="AW343" s="9"/>
      <c r="AX343" s="9"/>
      <c r="AY343" s="9"/>
      <c r="AZ343" s="9"/>
      <c r="BF343" s="9"/>
    </row>
    <row r="344" spans="2:58" ht="15" x14ac:dyDescent="0.2">
      <c r="B344" s="52" t="s">
        <v>1221</v>
      </c>
      <c r="C344" s="53">
        <v>134533302642</v>
      </c>
      <c r="AA344" s="5"/>
      <c r="AB344" s="20"/>
      <c r="AC344" s="6"/>
      <c r="AD344" s="7"/>
      <c r="AK344" s="5"/>
      <c r="AL344" s="5" t="str">
        <f t="shared" si="47"/>
        <v/>
      </c>
      <c r="AM344" s="8"/>
      <c r="AR344" s="8"/>
      <c r="AS344" s="8"/>
      <c r="AT344" s="8"/>
      <c r="AU344" s="8"/>
      <c r="AV344" s="8"/>
      <c r="AW344" s="9"/>
      <c r="AX344" s="9"/>
      <c r="AY344" s="9"/>
      <c r="AZ344" s="9"/>
      <c r="BF344" s="9"/>
    </row>
    <row r="345" spans="2:58" ht="15" x14ac:dyDescent="0.2">
      <c r="B345" s="52" t="s">
        <v>1222</v>
      </c>
      <c r="C345" s="53">
        <v>44100148040.779999</v>
      </c>
      <c r="G345" s="54" t="s">
        <v>1223</v>
      </c>
      <c r="H345" s="55"/>
      <c r="I345" s="56"/>
      <c r="J345" s="55"/>
      <c r="K345" s="54"/>
      <c r="AA345" s="5"/>
      <c r="AB345" s="20"/>
      <c r="AC345" s="6"/>
      <c r="AD345" s="7"/>
      <c r="AK345" s="5"/>
      <c r="AL345" s="5" t="str">
        <f t="shared" si="47"/>
        <v/>
      </c>
      <c r="AM345" s="8"/>
      <c r="AR345" s="8"/>
      <c r="AS345" s="8"/>
      <c r="AT345" s="8"/>
      <c r="AU345" s="8"/>
      <c r="AV345" s="8"/>
      <c r="AW345" s="9"/>
      <c r="AX345" s="9"/>
      <c r="AY345" s="9"/>
      <c r="AZ345" s="9"/>
    </row>
    <row r="346" spans="2:58" ht="15" x14ac:dyDescent="0.2">
      <c r="B346" s="52" t="s">
        <v>1224</v>
      </c>
      <c r="C346" s="53">
        <v>9894075671.9090748</v>
      </c>
      <c r="G346" s="21" t="s">
        <v>1225</v>
      </c>
      <c r="H346" s="57" t="s">
        <v>1226</v>
      </c>
      <c r="I346" s="21" t="s">
        <v>1227</v>
      </c>
      <c r="J346" s="57" t="s">
        <v>1228</v>
      </c>
      <c r="K346" s="21" t="s">
        <v>1229</v>
      </c>
      <c r="AA346" s="5"/>
      <c r="AB346" s="20"/>
      <c r="AC346" s="6"/>
      <c r="AD346" s="7"/>
      <c r="AK346" s="5"/>
      <c r="AL346" s="5" t="str">
        <f t="shared" si="47"/>
        <v/>
      </c>
      <c r="AM346" s="8"/>
      <c r="AR346" s="8"/>
      <c r="AS346" s="8"/>
      <c r="AT346" s="8"/>
      <c r="AU346" s="8"/>
      <c r="AV346" s="8"/>
      <c r="AW346" s="9"/>
      <c r="AX346" s="9"/>
      <c r="AY346" s="9"/>
      <c r="AZ346" s="9"/>
      <c r="BF346" s="9"/>
    </row>
    <row r="347" spans="2:58" ht="15" x14ac:dyDescent="0.2">
      <c r="B347"/>
      <c r="C347"/>
      <c r="F347" s="1">
        <v>176921</v>
      </c>
      <c r="G347" s="21" t="s">
        <v>1230</v>
      </c>
      <c r="H347" s="58">
        <v>95668341</v>
      </c>
      <c r="I347" s="21" t="s">
        <v>1231</v>
      </c>
      <c r="J347" s="58">
        <v>68001150</v>
      </c>
      <c r="K347" s="59">
        <f>+H347-J347</f>
        <v>27667191</v>
      </c>
      <c r="AA347" s="5"/>
      <c r="AB347" s="20"/>
      <c r="AC347" s="6"/>
      <c r="AD347" s="7"/>
      <c r="AK347" s="5"/>
      <c r="AL347" s="5" t="str">
        <f t="shared" si="47"/>
        <v/>
      </c>
      <c r="AM347" s="8"/>
      <c r="AR347" s="8"/>
      <c r="AS347" s="8"/>
      <c r="AT347" s="8"/>
      <c r="AU347" s="8"/>
      <c r="AV347" s="8"/>
      <c r="AW347" s="9"/>
      <c r="AX347" s="9"/>
      <c r="AY347" s="9"/>
      <c r="AZ347" s="9"/>
      <c r="BF347" s="9"/>
    </row>
    <row r="348" spans="2:58" ht="15" x14ac:dyDescent="0.2">
      <c r="B348" s="39" t="s">
        <v>1232</v>
      </c>
      <c r="C348" s="40">
        <f>+C349+C350</f>
        <v>188527526354.68906</v>
      </c>
      <c r="F348" s="1">
        <v>188021</v>
      </c>
      <c r="G348" s="21" t="s">
        <v>1233</v>
      </c>
      <c r="H348" s="58">
        <v>221709495</v>
      </c>
      <c r="I348" s="21"/>
      <c r="J348" s="58"/>
      <c r="K348" s="59">
        <f t="shared" ref="K348:K355" si="48">+H348-J348</f>
        <v>221709495</v>
      </c>
      <c r="AA348" s="5"/>
      <c r="AB348" s="20"/>
      <c r="AC348" s="6"/>
      <c r="AD348" s="7"/>
      <c r="AK348" s="5"/>
      <c r="AL348" s="5"/>
      <c r="AM348" s="8"/>
      <c r="AR348" s="8"/>
      <c r="AS348" s="8"/>
      <c r="AT348" s="8"/>
      <c r="AU348" s="8"/>
      <c r="AV348" s="8"/>
      <c r="AW348" s="9"/>
      <c r="AX348" s="9"/>
      <c r="AY348" s="9"/>
      <c r="AZ348" s="9"/>
      <c r="BF348" s="9"/>
    </row>
    <row r="349" spans="2:58" ht="15" x14ac:dyDescent="0.2">
      <c r="B349" s="60" t="s">
        <v>1234</v>
      </c>
      <c r="C349" s="61">
        <v>171094746701.57999</v>
      </c>
      <c r="F349" s="1">
        <v>176921</v>
      </c>
      <c r="G349" s="21" t="s">
        <v>1235</v>
      </c>
      <c r="H349" s="58">
        <v>471135280</v>
      </c>
      <c r="I349" s="62" t="s">
        <v>1236</v>
      </c>
      <c r="J349" s="58">
        <f>+C301</f>
        <v>409531080</v>
      </c>
      <c r="K349" s="59">
        <f t="shared" si="48"/>
        <v>61604200</v>
      </c>
      <c r="AA349" s="5"/>
      <c r="AB349" s="20"/>
      <c r="AC349" s="6"/>
      <c r="AD349" s="7"/>
      <c r="AK349" s="5"/>
      <c r="AL349" s="5" t="str">
        <f t="shared" si="47"/>
        <v/>
      </c>
      <c r="AM349" s="8"/>
      <c r="AR349" s="8"/>
      <c r="AS349" s="8"/>
      <c r="AT349" s="8"/>
      <c r="AU349" s="8"/>
      <c r="AV349" s="8"/>
      <c r="AW349" s="9"/>
      <c r="AX349" s="9"/>
      <c r="AY349" s="9"/>
      <c r="AZ349" s="9"/>
      <c r="BF349" s="9"/>
    </row>
    <row r="350" spans="2:58" ht="15" x14ac:dyDescent="0.2">
      <c r="B350" s="52" t="s">
        <v>1237</v>
      </c>
      <c r="C350" s="53">
        <v>17432779653.109077</v>
      </c>
      <c r="F350" s="1">
        <v>176921</v>
      </c>
      <c r="G350" s="21" t="s">
        <v>1238</v>
      </c>
      <c r="H350" s="58">
        <v>138700465</v>
      </c>
      <c r="I350" s="21"/>
      <c r="J350" s="58"/>
      <c r="K350" s="59">
        <f t="shared" si="48"/>
        <v>138700465</v>
      </c>
      <c r="AA350" s="5"/>
      <c r="AB350" s="20"/>
      <c r="AC350" s="6"/>
      <c r="AD350" s="7"/>
      <c r="AK350" s="5"/>
      <c r="AL350" s="5" t="str">
        <f t="shared" si="47"/>
        <v/>
      </c>
      <c r="AM350" s="8"/>
      <c r="AR350" s="8"/>
      <c r="AS350" s="8"/>
      <c r="AT350" s="8"/>
      <c r="AU350" s="8"/>
      <c r="AV350" s="8"/>
      <c r="AW350" s="9"/>
      <c r="AX350" s="9"/>
      <c r="AY350" s="9"/>
      <c r="AZ350" s="9"/>
      <c r="BF350" s="9"/>
    </row>
    <row r="351" spans="2:58" ht="14" x14ac:dyDescent="0.15">
      <c r="F351" s="1">
        <v>9822</v>
      </c>
      <c r="G351" s="21" t="s">
        <v>1239</v>
      </c>
      <c r="H351" s="58">
        <v>236914.31</v>
      </c>
      <c r="I351" s="21"/>
      <c r="J351" s="58"/>
      <c r="K351" s="59">
        <f t="shared" si="48"/>
        <v>236914.31</v>
      </c>
      <c r="V351" s="28"/>
      <c r="W351" s="63"/>
      <c r="Y351" s="63"/>
      <c r="AA351" s="5"/>
      <c r="AB351" s="20"/>
      <c r="AC351" s="6"/>
      <c r="AD351" s="7"/>
      <c r="AK351" s="5"/>
      <c r="AL351" s="5" t="str">
        <f t="shared" si="47"/>
        <v/>
      </c>
      <c r="AM351" s="8"/>
      <c r="AR351" s="8"/>
      <c r="AS351" s="8"/>
      <c r="AT351" s="8"/>
      <c r="AU351" s="8"/>
      <c r="AV351" s="8"/>
      <c r="AW351" s="9"/>
      <c r="AX351" s="9"/>
      <c r="AY351" s="9"/>
      <c r="AZ351" s="9"/>
      <c r="BF351" s="9"/>
    </row>
    <row r="352" spans="2:58" ht="15" x14ac:dyDescent="0.2">
      <c r="B352" s="64" t="s">
        <v>1234</v>
      </c>
      <c r="C352" s="65">
        <f>+C321-C323</f>
        <v>171094746701.58002</v>
      </c>
      <c r="F352" s="1">
        <v>9822</v>
      </c>
      <c r="G352" s="21" t="s">
        <v>1240</v>
      </c>
      <c r="H352" s="58">
        <v>142.06</v>
      </c>
      <c r="I352" s="21"/>
      <c r="J352" s="58"/>
      <c r="K352" s="59">
        <f t="shared" si="48"/>
        <v>142.06</v>
      </c>
      <c r="Y352" s="49"/>
      <c r="AA352" s="5"/>
      <c r="AB352" s="20"/>
      <c r="AC352" s="6"/>
      <c r="AD352" s="7"/>
      <c r="AK352" s="5"/>
      <c r="AL352" s="5" t="str">
        <f t="shared" si="47"/>
        <v/>
      </c>
      <c r="AM352" s="8"/>
      <c r="AR352" s="8"/>
      <c r="AS352" s="8"/>
      <c r="AT352" s="8"/>
      <c r="AU352" s="8"/>
      <c r="AV352" s="8"/>
      <c r="AW352" s="9"/>
      <c r="AX352" s="9"/>
      <c r="AY352" s="9"/>
      <c r="AZ352" s="9"/>
      <c r="BF352" s="9"/>
    </row>
    <row r="353" spans="2:58" ht="15" x14ac:dyDescent="0.2">
      <c r="B353" s="52" t="s">
        <v>1241</v>
      </c>
      <c r="C353" s="66">
        <f>+C322</f>
        <v>155240702792.67001</v>
      </c>
      <c r="F353" s="1">
        <v>9822</v>
      </c>
      <c r="G353" s="21" t="s">
        <v>1242</v>
      </c>
      <c r="H353" s="58">
        <v>1717080965</v>
      </c>
      <c r="I353" s="21" t="s">
        <v>1243</v>
      </c>
      <c r="J353" s="58">
        <f>+F296+F298</f>
        <v>1582615660.3999982</v>
      </c>
      <c r="K353" s="59">
        <f t="shared" si="48"/>
        <v>134465304.60000181</v>
      </c>
      <c r="Y353" s="49"/>
      <c r="AA353" s="5"/>
      <c r="AB353" s="20"/>
      <c r="AC353" s="6"/>
      <c r="AD353" s="7"/>
      <c r="AK353" s="5"/>
      <c r="AL353" s="5"/>
      <c r="AM353" s="8"/>
      <c r="AR353" s="8"/>
      <c r="AS353" s="8"/>
      <c r="AT353" s="8"/>
      <c r="AU353" s="8"/>
      <c r="AV353" s="8"/>
      <c r="AW353" s="9"/>
      <c r="AX353" s="9"/>
      <c r="AY353" s="9"/>
      <c r="AZ353" s="9"/>
      <c r="BF353" s="9"/>
    </row>
    <row r="354" spans="2:58" ht="15" x14ac:dyDescent="0.2">
      <c r="B354" s="52" t="s">
        <v>1244</v>
      </c>
      <c r="C354" s="66">
        <f>+K356</f>
        <v>584901225.31000185</v>
      </c>
      <c r="F354" s="1">
        <v>9822</v>
      </c>
      <c r="G354" s="21" t="s">
        <v>1245</v>
      </c>
      <c r="H354" s="58">
        <v>2</v>
      </c>
      <c r="I354" s="21"/>
      <c r="J354" s="58"/>
      <c r="K354" s="59">
        <f t="shared" si="48"/>
        <v>2</v>
      </c>
      <c r="Y354" s="49"/>
      <c r="AA354" s="5"/>
      <c r="AB354" s="20"/>
      <c r="AC354" s="6"/>
      <c r="AD354" s="7"/>
      <c r="AK354" s="5"/>
      <c r="AL354" s="5"/>
      <c r="AM354" s="8"/>
      <c r="AR354" s="8"/>
      <c r="AS354" s="8"/>
      <c r="AT354" s="8"/>
      <c r="AU354" s="8"/>
      <c r="AV354" s="8"/>
      <c r="AW354" s="9"/>
      <c r="AX354" s="9"/>
      <c r="AY354" s="9"/>
      <c r="AZ354" s="9"/>
      <c r="BF354" s="9"/>
    </row>
    <row r="355" spans="2:58" ht="15" x14ac:dyDescent="0.2">
      <c r="B355" s="67" t="s">
        <v>1246</v>
      </c>
      <c r="C355" s="68">
        <f>+C352+C354-C353</f>
        <v>16438945134.220001</v>
      </c>
      <c r="F355" s="1">
        <v>9822</v>
      </c>
      <c r="G355" s="21" t="s">
        <v>1247</v>
      </c>
      <c r="H355" s="58">
        <v>517511.34</v>
      </c>
      <c r="I355" s="21"/>
      <c r="J355" s="58"/>
      <c r="K355" s="59">
        <f t="shared" si="48"/>
        <v>517511.34</v>
      </c>
      <c r="Y355" s="49"/>
      <c r="AA355" s="5"/>
      <c r="AB355" s="20"/>
      <c r="AC355" s="6"/>
      <c r="AD355" s="7"/>
      <c r="AK355" s="5"/>
      <c r="AL355" s="5"/>
      <c r="AM355" s="8"/>
      <c r="AR355" s="8"/>
      <c r="AS355" s="8"/>
      <c r="AT355" s="8"/>
      <c r="AU355" s="8"/>
      <c r="AV355" s="8"/>
      <c r="AW355" s="9"/>
      <c r="AX355" s="9"/>
      <c r="AY355" s="9"/>
      <c r="AZ355" s="9"/>
      <c r="BF355" s="9"/>
    </row>
    <row r="356" spans="2:58" ht="15" x14ac:dyDescent="0.2">
      <c r="B356" s="52" t="s">
        <v>1248</v>
      </c>
      <c r="C356" s="66">
        <v>16392493064</v>
      </c>
      <c r="G356" s="21" t="s">
        <v>1249</v>
      </c>
      <c r="H356" s="69">
        <f>SUM(H347:H355)</f>
        <v>2645049115.71</v>
      </c>
      <c r="I356" s="21"/>
      <c r="J356" s="70">
        <f>+J347+J349+J353</f>
        <v>2060147890.3999982</v>
      </c>
      <c r="K356" s="71">
        <f>+K347+K348+K349+K350+K351+K352+K353+K354+K355</f>
        <v>584901225.31000185</v>
      </c>
      <c r="Y356" s="49"/>
      <c r="AA356" s="5"/>
      <c r="AB356" s="20"/>
      <c r="AC356" s="6"/>
      <c r="AD356" s="7"/>
      <c r="AK356" s="5"/>
      <c r="AL356" s="5"/>
      <c r="AM356" s="18"/>
      <c r="AN356" s="18"/>
      <c r="AO356" s="18"/>
      <c r="AP356" s="18"/>
      <c r="AQ356" s="18"/>
      <c r="AR356" s="18"/>
      <c r="AS356" s="18"/>
      <c r="AT356" s="18"/>
      <c r="AU356" s="18"/>
      <c r="AV356" s="18"/>
      <c r="AW356" s="9"/>
      <c r="AX356" s="9"/>
      <c r="AY356" s="9"/>
      <c r="AZ356" s="9"/>
      <c r="BF356" s="9"/>
    </row>
    <row r="357" spans="2:58" ht="15" x14ac:dyDescent="0.2">
      <c r="B357" s="39" t="s">
        <v>1250</v>
      </c>
      <c r="C357" s="72">
        <f>+C355-C356</f>
        <v>46452070.220001221</v>
      </c>
      <c r="W357" s="13"/>
      <c r="X357" s="13"/>
      <c r="Y357" s="13"/>
      <c r="Z357" s="10"/>
      <c r="AA357" s="5"/>
      <c r="AB357" s="20"/>
      <c r="AC357" s="6"/>
      <c r="AD357" s="7"/>
      <c r="AK357" s="5"/>
      <c r="AL357" s="5" t="str">
        <f t="shared" si="47"/>
        <v/>
      </c>
      <c r="AM357" s="8"/>
      <c r="AR357" s="8"/>
      <c r="AS357" s="8"/>
      <c r="AT357" s="8"/>
      <c r="AU357" s="8"/>
      <c r="AV357" s="8"/>
      <c r="AW357" s="9"/>
      <c r="AX357" s="9"/>
      <c r="AY357" s="9"/>
      <c r="AZ357" s="9"/>
    </row>
    <row r="358" spans="2:58" ht="14" x14ac:dyDescent="0.15">
      <c r="G358" s="21" t="s">
        <v>1251</v>
      </c>
      <c r="H358" s="21"/>
      <c r="I358" s="21"/>
      <c r="J358" s="21"/>
      <c r="K358" s="21"/>
      <c r="V358" s="73"/>
      <c r="W358" s="73"/>
      <c r="X358" s="73"/>
      <c r="Y358" s="73"/>
      <c r="Z358" s="35"/>
      <c r="AA358" s="5"/>
      <c r="AB358" s="20"/>
      <c r="AC358" s="6"/>
      <c r="AD358" s="7"/>
      <c r="AK358" s="5"/>
      <c r="AL358" s="5" t="str">
        <f t="shared" si="47"/>
        <v/>
      </c>
      <c r="AM358" s="8"/>
      <c r="AR358" s="8"/>
      <c r="AS358" s="8"/>
      <c r="AT358" s="8"/>
      <c r="AU358" s="8"/>
      <c r="AV358" s="8"/>
      <c r="AW358" s="9"/>
      <c r="AX358" s="9"/>
      <c r="AY358" s="9"/>
      <c r="AZ358" s="9"/>
    </row>
    <row r="359" spans="2:58" ht="14" x14ac:dyDescent="0.2">
      <c r="B359" s="74" t="s">
        <v>1252</v>
      </c>
      <c r="G359" s="21" t="s">
        <v>1225</v>
      </c>
      <c r="H359" s="57" t="s">
        <v>1226</v>
      </c>
      <c r="I359" s="21" t="s">
        <v>1227</v>
      </c>
      <c r="J359" s="57" t="s">
        <v>1228</v>
      </c>
      <c r="K359" s="21" t="s">
        <v>1229</v>
      </c>
      <c r="V359" s="73"/>
      <c r="W359" s="73"/>
      <c r="X359" s="73"/>
      <c r="Y359" s="73"/>
      <c r="AA359" s="5"/>
      <c r="AB359" s="20"/>
      <c r="AC359" s="6"/>
      <c r="AD359" s="7"/>
      <c r="AK359" s="5"/>
      <c r="AL359" s="5" t="str">
        <f t="shared" si="47"/>
        <v/>
      </c>
      <c r="AM359" s="8"/>
      <c r="AR359" s="8"/>
      <c r="AS359" s="8"/>
      <c r="AT359" s="8"/>
      <c r="AU359" s="8"/>
      <c r="AV359" s="8"/>
      <c r="AW359" s="9"/>
      <c r="AX359" s="9"/>
      <c r="AY359" s="9"/>
      <c r="AZ359" s="9"/>
    </row>
    <row r="360" spans="2:58" ht="14" x14ac:dyDescent="0.2">
      <c r="B360" s="74" t="s">
        <v>1253</v>
      </c>
      <c r="F360" s="1">
        <v>188421</v>
      </c>
      <c r="G360" s="21" t="s">
        <v>1254</v>
      </c>
      <c r="H360" s="58">
        <v>376442339.82999998</v>
      </c>
      <c r="I360" s="21"/>
      <c r="J360" s="58"/>
      <c r="K360" s="59">
        <v>376442339.82999998</v>
      </c>
      <c r="V360" s="73"/>
      <c r="W360" s="73"/>
      <c r="X360" s="73"/>
      <c r="Y360" s="73"/>
      <c r="AA360" s="5"/>
      <c r="AB360" s="20"/>
      <c r="AC360" s="6"/>
      <c r="AD360" s="7"/>
      <c r="AK360" s="5"/>
      <c r="AL360" s="5" t="str">
        <f t="shared" si="47"/>
        <v/>
      </c>
      <c r="AM360" s="8"/>
      <c r="AR360" s="8"/>
      <c r="AS360" s="8"/>
      <c r="AT360" s="8"/>
      <c r="AU360" s="8"/>
      <c r="AV360" s="8"/>
      <c r="AW360" s="9"/>
      <c r="AX360" s="9"/>
      <c r="AY360" s="9"/>
      <c r="AZ360" s="9"/>
    </row>
    <row r="361" spans="2:58" ht="14" x14ac:dyDescent="0.15">
      <c r="F361" s="1">
        <v>188421</v>
      </c>
      <c r="G361" s="21" t="s">
        <v>1255</v>
      </c>
      <c r="H361" s="58">
        <v>628229216.16999996</v>
      </c>
      <c r="I361" s="21"/>
      <c r="J361" s="58"/>
      <c r="K361" s="59">
        <v>628229216.16999996</v>
      </c>
      <c r="V361" s="73"/>
      <c r="W361" s="73"/>
      <c r="X361" s="73"/>
      <c r="Y361" s="73"/>
      <c r="AA361" s="5"/>
      <c r="AB361" s="20"/>
      <c r="AC361" s="6"/>
      <c r="AD361" s="7"/>
      <c r="AK361" s="5"/>
      <c r="AL361" s="5" t="str">
        <f t="shared" si="47"/>
        <v/>
      </c>
      <c r="AM361" s="8"/>
      <c r="AR361" s="8"/>
      <c r="AS361" s="8"/>
      <c r="AT361" s="8"/>
      <c r="AU361" s="8"/>
      <c r="AV361" s="8"/>
      <c r="AW361" s="9"/>
      <c r="AX361" s="9"/>
      <c r="AY361" s="9"/>
      <c r="AZ361" s="9"/>
    </row>
    <row r="362" spans="2:58" ht="14" x14ac:dyDescent="0.15">
      <c r="G362" s="21" t="s">
        <v>1256</v>
      </c>
      <c r="H362" s="75">
        <v>182806540</v>
      </c>
      <c r="I362" s="21"/>
      <c r="J362" s="75"/>
      <c r="K362" s="76">
        <v>182806540</v>
      </c>
      <c r="AA362" s="5"/>
      <c r="AB362" s="20"/>
      <c r="AC362" s="6"/>
      <c r="AD362" s="7"/>
      <c r="AK362" s="5"/>
      <c r="AL362" s="5" t="str">
        <f t="shared" si="47"/>
        <v/>
      </c>
      <c r="AM362" s="8"/>
      <c r="AR362" s="8"/>
      <c r="AS362" s="8"/>
      <c r="AT362" s="8"/>
      <c r="AU362" s="8"/>
      <c r="AV362" s="8"/>
      <c r="AW362" s="9"/>
      <c r="AX362" s="9"/>
      <c r="AY362" s="9"/>
      <c r="AZ362" s="9"/>
    </row>
    <row r="363" spans="2:58" ht="14" x14ac:dyDescent="0.15">
      <c r="F363" s="77"/>
      <c r="G363" s="21" t="s">
        <v>1257</v>
      </c>
      <c r="H363" s="78">
        <f>SUM(H360:H362)</f>
        <v>1187478096</v>
      </c>
      <c r="I363" s="58"/>
      <c r="J363" s="58"/>
      <c r="K363" s="78">
        <f>SUM(K360:K362)</f>
        <v>1187478096</v>
      </c>
      <c r="W363" s="79"/>
      <c r="X363" s="79"/>
      <c r="Y363" s="79"/>
      <c r="AA363" s="5"/>
      <c r="AB363" s="20"/>
      <c r="AC363" s="6"/>
      <c r="AD363" s="7"/>
      <c r="AK363" s="5"/>
      <c r="AL363" s="5" t="str">
        <f t="shared" si="47"/>
        <v/>
      </c>
      <c r="AM363" s="8"/>
      <c r="AR363" s="8"/>
      <c r="AS363" s="8"/>
      <c r="AT363" s="8"/>
      <c r="AU363" s="8"/>
      <c r="AV363" s="8"/>
      <c r="AW363" s="9"/>
      <c r="AX363" s="9"/>
      <c r="AY363" s="9"/>
      <c r="AZ363" s="9"/>
    </row>
    <row r="364" spans="2:58" ht="14" x14ac:dyDescent="0.15">
      <c r="F364" s="77"/>
      <c r="V364" s="73"/>
      <c r="W364" s="73"/>
      <c r="X364" s="73"/>
      <c r="Y364" s="73"/>
      <c r="AA364" s="5"/>
      <c r="AB364" s="20"/>
      <c r="AC364" s="6"/>
      <c r="AD364" s="7"/>
      <c r="AK364" s="5"/>
      <c r="AL364" s="5" t="str">
        <f t="shared" si="47"/>
        <v/>
      </c>
      <c r="AM364" s="8"/>
      <c r="AR364" s="8"/>
      <c r="AS364" s="8"/>
      <c r="AT364" s="8"/>
      <c r="AU364" s="8"/>
      <c r="AV364" s="8"/>
      <c r="AW364" s="9"/>
      <c r="AX364" s="9"/>
      <c r="AY364" s="9"/>
      <c r="AZ364" s="9"/>
    </row>
    <row r="365" spans="2:58" ht="14" x14ac:dyDescent="0.15">
      <c r="V365" s="73"/>
      <c r="W365" s="73"/>
      <c r="X365" s="73"/>
      <c r="Y365" s="73"/>
      <c r="AA365" s="5"/>
      <c r="AB365" s="20"/>
      <c r="AC365" s="6"/>
      <c r="AD365" s="7"/>
      <c r="AK365" s="5"/>
      <c r="AL365" s="5" t="str">
        <f t="shared" si="47"/>
        <v/>
      </c>
      <c r="AM365" s="8"/>
      <c r="AR365" s="8"/>
      <c r="AS365" s="8"/>
      <c r="AT365" s="8"/>
      <c r="AU365" s="8"/>
      <c r="AV365" s="8"/>
      <c r="AW365" s="9"/>
      <c r="AX365" s="9"/>
      <c r="AY365" s="9"/>
      <c r="AZ365" s="9"/>
    </row>
    <row r="366" spans="2:58" ht="14" x14ac:dyDescent="0.15">
      <c r="V366" s="73"/>
      <c r="W366" s="73"/>
      <c r="X366" s="73"/>
      <c r="Y366" s="73"/>
      <c r="AA366" s="5"/>
      <c r="AB366" s="20"/>
      <c r="AC366" s="6"/>
      <c r="AD366" s="7"/>
      <c r="AK366" s="5"/>
      <c r="AL366" s="5" t="str">
        <f t="shared" si="47"/>
        <v/>
      </c>
      <c r="AM366" s="8"/>
      <c r="AR366" s="8"/>
      <c r="AS366" s="8"/>
      <c r="AT366" s="8"/>
      <c r="AU366" s="8"/>
      <c r="AV366" s="8"/>
      <c r="AW366" s="9"/>
      <c r="AX366" s="9"/>
      <c r="AY366" s="9"/>
      <c r="AZ366" s="9"/>
    </row>
    <row r="367" spans="2:58" ht="14" x14ac:dyDescent="0.15">
      <c r="V367" s="73"/>
      <c r="W367" s="73"/>
      <c r="X367" s="73"/>
      <c r="Y367" s="73"/>
      <c r="AA367" s="5"/>
      <c r="AB367" s="20"/>
      <c r="AC367" s="6"/>
      <c r="AD367" s="7"/>
      <c r="AK367" s="5"/>
      <c r="AL367" s="5" t="str">
        <f t="shared" si="47"/>
        <v/>
      </c>
      <c r="AM367" s="8"/>
      <c r="AR367" s="8"/>
      <c r="AS367" s="8"/>
      <c r="AT367" s="8"/>
      <c r="AU367" s="8"/>
      <c r="AV367" s="8"/>
      <c r="AW367" s="9"/>
      <c r="AX367" s="9"/>
      <c r="AY367" s="9"/>
      <c r="AZ367" s="9"/>
    </row>
    <row r="368" spans="2:58" ht="14" x14ac:dyDescent="0.15">
      <c r="AA368" s="5"/>
      <c r="AB368" s="20"/>
      <c r="AC368" s="6"/>
      <c r="AD368" s="7"/>
      <c r="AK368" s="5"/>
      <c r="AL368" s="5" t="str">
        <f t="shared" si="47"/>
        <v/>
      </c>
      <c r="AM368" s="8"/>
      <c r="AR368" s="8"/>
      <c r="AS368" s="8"/>
      <c r="AT368" s="8"/>
      <c r="AU368" s="8"/>
      <c r="AV368" s="8"/>
      <c r="AW368" s="9"/>
      <c r="AX368" s="9"/>
      <c r="AY368" s="9"/>
      <c r="AZ368" s="9"/>
    </row>
    <row r="369" spans="2:52" ht="14" x14ac:dyDescent="0.15">
      <c r="H369" s="80"/>
      <c r="AA369" s="5"/>
      <c r="AB369" s="20"/>
      <c r="AC369" s="6"/>
      <c r="AD369" s="7"/>
      <c r="AK369" s="5"/>
      <c r="AL369" s="5" t="str">
        <f t="shared" si="47"/>
        <v/>
      </c>
      <c r="AM369" s="8"/>
      <c r="AR369" s="8"/>
      <c r="AS369" s="8"/>
      <c r="AT369" s="8"/>
      <c r="AU369" s="8"/>
      <c r="AV369" s="8"/>
      <c r="AW369" s="9"/>
      <c r="AX369" s="9"/>
      <c r="AY369" s="9"/>
      <c r="AZ369" s="9"/>
    </row>
    <row r="370" spans="2:52" ht="14" x14ac:dyDescent="0.15">
      <c r="AA370" s="5"/>
      <c r="AB370" s="20"/>
      <c r="AC370" s="6"/>
      <c r="AD370" s="7"/>
      <c r="AK370" s="5"/>
      <c r="AL370" s="5" t="str">
        <f t="shared" si="47"/>
        <v/>
      </c>
      <c r="AM370" s="8"/>
      <c r="AR370" s="8"/>
      <c r="AS370" s="8"/>
      <c r="AT370" s="8"/>
      <c r="AU370" s="8"/>
      <c r="AV370" s="8"/>
      <c r="AW370" s="9"/>
      <c r="AX370" s="9"/>
      <c r="AY370" s="9"/>
      <c r="AZ370" s="9"/>
    </row>
    <row r="371" spans="2:52" ht="14" x14ac:dyDescent="0.15">
      <c r="W371" s="73"/>
      <c r="AA371" s="5"/>
      <c r="AB371" s="20"/>
      <c r="AC371" s="6"/>
      <c r="AD371" s="7"/>
      <c r="AK371" s="5"/>
      <c r="AL371" s="5" t="str">
        <f t="shared" si="47"/>
        <v/>
      </c>
      <c r="AM371" s="8"/>
      <c r="AR371" s="8"/>
      <c r="AS371" s="8"/>
      <c r="AT371" s="8"/>
      <c r="AU371" s="8"/>
      <c r="AV371" s="8"/>
      <c r="AW371" s="9"/>
      <c r="AX371" s="9"/>
      <c r="AY371" s="9"/>
      <c r="AZ371" s="9"/>
    </row>
    <row r="372" spans="2:52" ht="14" x14ac:dyDescent="0.15">
      <c r="W372" s="81"/>
      <c r="AA372" s="5"/>
      <c r="AB372" s="20"/>
      <c r="AC372" s="6"/>
      <c r="AD372" s="7"/>
      <c r="AK372" s="5"/>
      <c r="AL372" s="5" t="str">
        <f t="shared" si="47"/>
        <v/>
      </c>
      <c r="AM372" s="8"/>
      <c r="AR372" s="8"/>
      <c r="AS372" s="8"/>
      <c r="AT372" s="8"/>
      <c r="AU372" s="8"/>
      <c r="AV372" s="8"/>
      <c r="AW372" s="9"/>
      <c r="AX372" s="9"/>
      <c r="AY372" s="9"/>
      <c r="AZ372" s="9"/>
    </row>
    <row r="373" spans="2:52" ht="14" x14ac:dyDescent="0.15">
      <c r="W373" s="81"/>
      <c r="AA373" s="5"/>
      <c r="AB373" s="20"/>
      <c r="AC373" s="6"/>
      <c r="AD373" s="7"/>
      <c r="AK373" s="5"/>
      <c r="AL373" s="5" t="str">
        <f t="shared" si="47"/>
        <v/>
      </c>
      <c r="AM373" s="8"/>
      <c r="AR373" s="8"/>
      <c r="AS373" s="8"/>
      <c r="AT373" s="8"/>
      <c r="AU373" s="8"/>
      <c r="AV373" s="8"/>
      <c r="AW373" s="9"/>
      <c r="AX373" s="9"/>
      <c r="AY373" s="9"/>
      <c r="AZ373" s="9"/>
    </row>
    <row r="374" spans="2:52" ht="14" x14ac:dyDescent="0.15">
      <c r="AA374" s="5"/>
      <c r="AB374" s="20"/>
      <c r="AC374" s="6"/>
      <c r="AD374" s="7"/>
      <c r="AK374" s="5"/>
      <c r="AL374" s="5" t="str">
        <f t="shared" si="47"/>
        <v/>
      </c>
      <c r="AM374" s="8"/>
      <c r="AR374" s="8"/>
      <c r="AS374" s="8"/>
      <c r="AT374" s="8"/>
      <c r="AU374" s="8"/>
      <c r="AV374" s="8"/>
      <c r="AW374" s="9"/>
      <c r="AX374" s="9"/>
      <c r="AY374" s="9"/>
      <c r="AZ374" s="9"/>
    </row>
    <row r="375" spans="2:52" ht="14" x14ac:dyDescent="0.15">
      <c r="AA375" s="5"/>
      <c r="AB375" s="20"/>
      <c r="AC375" s="6"/>
      <c r="AD375" s="7"/>
      <c r="AK375" s="5"/>
      <c r="AL375" s="5" t="str">
        <f t="shared" si="47"/>
        <v/>
      </c>
      <c r="AM375" s="8"/>
      <c r="AR375" s="8"/>
      <c r="AS375" s="8"/>
      <c r="AT375" s="8"/>
      <c r="AU375" s="8"/>
      <c r="AV375" s="8"/>
      <c r="AW375" s="9"/>
      <c r="AX375" s="9"/>
      <c r="AY375" s="9"/>
      <c r="AZ375" s="9"/>
    </row>
    <row r="376" spans="2:52" ht="14" x14ac:dyDescent="0.15">
      <c r="W376" s="73"/>
      <c r="AA376" s="5"/>
      <c r="AB376" s="20"/>
      <c r="AC376" s="6"/>
      <c r="AD376" s="7"/>
      <c r="AK376" s="5"/>
      <c r="AL376" s="5" t="str">
        <f t="shared" si="47"/>
        <v/>
      </c>
      <c r="AM376" s="8"/>
      <c r="AR376" s="8"/>
      <c r="AS376" s="8"/>
      <c r="AT376" s="8"/>
      <c r="AU376" s="8"/>
      <c r="AV376" s="8"/>
      <c r="AW376" s="9"/>
      <c r="AX376" s="9"/>
      <c r="AY376" s="9"/>
      <c r="AZ376" s="9"/>
    </row>
    <row r="377" spans="2:52" ht="14" x14ac:dyDescent="0.15">
      <c r="AA377" s="5"/>
      <c r="AB377" s="20"/>
      <c r="AC377" s="6"/>
      <c r="AD377" s="7"/>
      <c r="AK377" s="5"/>
      <c r="AL377" s="5" t="str">
        <f t="shared" si="47"/>
        <v/>
      </c>
      <c r="AM377" s="8"/>
      <c r="AR377" s="8"/>
      <c r="AS377" s="8"/>
      <c r="AT377" s="8"/>
      <c r="AU377" s="8"/>
      <c r="AV377" s="8"/>
      <c r="AW377" s="9"/>
      <c r="AX377" s="9"/>
      <c r="AY377" s="9"/>
      <c r="AZ377" s="9"/>
    </row>
    <row r="378" spans="2:52" ht="14" x14ac:dyDescent="0.15">
      <c r="W378" s="81"/>
      <c r="AA378" s="5"/>
      <c r="AB378" s="20"/>
      <c r="AC378" s="6"/>
      <c r="AD378" s="7"/>
      <c r="AK378" s="5"/>
      <c r="AL378" s="5" t="str">
        <f t="shared" si="47"/>
        <v/>
      </c>
      <c r="AM378" s="8"/>
      <c r="AR378" s="8"/>
      <c r="AS378" s="8"/>
      <c r="AT378" s="8"/>
      <c r="AU378" s="8"/>
      <c r="AV378" s="8"/>
      <c r="AW378" s="9"/>
      <c r="AX378" s="9"/>
      <c r="AY378" s="9"/>
      <c r="AZ378" s="9"/>
    </row>
    <row r="379" spans="2:52" ht="14" x14ac:dyDescent="0.15">
      <c r="W379" s="73"/>
      <c r="AA379" s="5"/>
      <c r="AB379" s="20"/>
      <c r="AC379" s="6"/>
      <c r="AD379" s="7"/>
      <c r="AK379" s="5"/>
      <c r="AL379" s="5" t="str">
        <f t="shared" si="47"/>
        <v/>
      </c>
      <c r="AM379" s="8"/>
      <c r="AR379" s="8"/>
      <c r="AS379" s="8"/>
      <c r="AT379" s="8"/>
      <c r="AU379" s="8"/>
      <c r="AV379" s="8"/>
      <c r="AW379" s="9"/>
      <c r="AX379" s="9"/>
      <c r="AY379" s="9"/>
      <c r="AZ379" s="9"/>
    </row>
    <row r="380" spans="2:52" ht="14" x14ac:dyDescent="0.15">
      <c r="W380" s="73"/>
      <c r="AA380" s="5"/>
      <c r="AB380" s="20"/>
      <c r="AC380" s="6"/>
      <c r="AD380" s="7"/>
      <c r="AK380" s="5"/>
      <c r="AL380" s="5" t="str">
        <f t="shared" si="47"/>
        <v/>
      </c>
      <c r="AM380" s="8"/>
      <c r="AR380" s="8"/>
      <c r="AS380" s="8"/>
      <c r="AT380" s="8"/>
      <c r="AU380" s="8"/>
      <c r="AV380" s="8"/>
      <c r="AW380" s="9"/>
      <c r="AX380" s="9"/>
      <c r="AY380" s="9"/>
      <c r="AZ380" s="9"/>
    </row>
    <row r="381" spans="2:52" ht="14" x14ac:dyDescent="0.15">
      <c r="AA381" s="5"/>
      <c r="AB381" s="20"/>
      <c r="AC381" s="6"/>
      <c r="AD381" s="7"/>
      <c r="AK381" s="5"/>
      <c r="AL381" s="5" t="str">
        <f t="shared" si="47"/>
        <v/>
      </c>
      <c r="AM381" s="8"/>
      <c r="AR381" s="8"/>
      <c r="AS381" s="8"/>
      <c r="AT381" s="8"/>
      <c r="AU381" s="8"/>
      <c r="AV381" s="8"/>
      <c r="AW381" s="9"/>
      <c r="AX381" s="9"/>
      <c r="AY381" s="9"/>
      <c r="AZ381" s="9"/>
    </row>
    <row r="382" spans="2:52" ht="14" x14ac:dyDescent="0.15">
      <c r="W382" s="73"/>
      <c r="AA382" s="5"/>
      <c r="AB382" s="20"/>
      <c r="AC382" s="6"/>
      <c r="AD382" s="7"/>
      <c r="AK382" s="5"/>
      <c r="AL382" s="5" t="str">
        <f t="shared" si="47"/>
        <v/>
      </c>
      <c r="AM382" s="8"/>
      <c r="AR382" s="8"/>
      <c r="AS382" s="8"/>
      <c r="AT382" s="8"/>
      <c r="AU382" s="8"/>
      <c r="AV382" s="8"/>
      <c r="AW382" s="9"/>
      <c r="AX382" s="9"/>
      <c r="AY382" s="9"/>
      <c r="AZ382" s="9"/>
    </row>
    <row r="383" spans="2:52" ht="15" x14ac:dyDescent="0.2">
      <c r="B383"/>
      <c r="C383" s="82"/>
      <c r="AA383" s="5"/>
      <c r="AB383" s="20"/>
      <c r="AC383" s="6"/>
      <c r="AD383" s="7"/>
      <c r="AK383" s="5"/>
      <c r="AL383" s="5" t="str">
        <f t="shared" si="47"/>
        <v/>
      </c>
      <c r="AM383" s="8"/>
      <c r="AR383" s="8"/>
      <c r="AS383" s="8"/>
      <c r="AT383" s="8"/>
      <c r="AU383" s="8"/>
      <c r="AV383" s="8"/>
      <c r="AW383" s="9"/>
      <c r="AX383" s="9"/>
      <c r="AY383" s="9"/>
      <c r="AZ383" s="9"/>
    </row>
    <row r="384" spans="2:52" ht="14" x14ac:dyDescent="0.15">
      <c r="AA384" s="5"/>
      <c r="AB384" s="20"/>
      <c r="AC384" s="6"/>
      <c r="AD384" s="7"/>
      <c r="AK384" s="5"/>
      <c r="AL384" s="5" t="str">
        <f t="shared" si="47"/>
        <v/>
      </c>
      <c r="AM384" s="8"/>
      <c r="AR384" s="8"/>
      <c r="AS384" s="8"/>
      <c r="AT384" s="8"/>
      <c r="AU384" s="8"/>
      <c r="AV384" s="8"/>
      <c r="AW384" s="9"/>
      <c r="AX384" s="9"/>
      <c r="AY384" s="9"/>
      <c r="AZ384" s="9"/>
    </row>
    <row r="385" spans="2:52" x14ac:dyDescent="0.15">
      <c r="V385" s="35"/>
      <c r="W385" s="35"/>
      <c r="X385" s="35"/>
      <c r="Y385" s="35"/>
    </row>
    <row r="386" spans="2:52" x14ac:dyDescent="0.15">
      <c r="Y386" s="35"/>
    </row>
    <row r="388" spans="2:52" x14ac:dyDescent="0.15">
      <c r="X388" s="5"/>
    </row>
    <row r="389" spans="2:52" x14ac:dyDescent="0.15">
      <c r="W389" s="83"/>
      <c r="Y389" s="83"/>
      <c r="AQ389" s="14">
        <f>+AQ194+AQ253+AQ258</f>
        <v>1168157502.8336437</v>
      </c>
      <c r="AR389" s="14">
        <f>+AR194+AR253+AR258</f>
        <v>384557449.93283546</v>
      </c>
      <c r="AS389" s="14">
        <f>+AS194+AS253+AS258</f>
        <v>23363150.056672879</v>
      </c>
      <c r="AT389" s="14">
        <f>+AT194+AT253+AT258</f>
        <v>58407875.141682193</v>
      </c>
      <c r="AU389" s="14">
        <f>+AU194+AU253+AU258</f>
        <v>11097496.276919615</v>
      </c>
      <c r="AX389" s="22"/>
      <c r="AY389" s="22"/>
      <c r="AZ389" s="22"/>
    </row>
    <row r="390" spans="2:52" ht="15" x14ac:dyDescent="0.2">
      <c r="B390" s="74"/>
      <c r="C390" s="84"/>
      <c r="W390" s="49"/>
      <c r="Y390" s="49"/>
      <c r="AL390" s="5">
        <f>+AL194*AM194</f>
        <v>421094631.44319999</v>
      </c>
      <c r="AR390" s="85"/>
      <c r="AS390" s="85"/>
      <c r="AT390" s="85"/>
      <c r="AU390" s="85"/>
      <c r="AX390" s="86">
        <f>+AX276/AL276</f>
        <v>0.61943000902322443</v>
      </c>
      <c r="AY390" s="12">
        <f>+AY276/AL276</f>
        <v>0.38056999097677552</v>
      </c>
    </row>
    <row r="391" spans="2:52" ht="15" x14ac:dyDescent="0.2">
      <c r="B391" s="74" t="s">
        <v>1258</v>
      </c>
      <c r="C391" s="82"/>
      <c r="V391" s="22"/>
      <c r="W391" s="49"/>
      <c r="AL391" s="5">
        <f>+AL390*AN194</f>
        <v>8421892.6288639996</v>
      </c>
      <c r="AR391" s="85"/>
      <c r="AS391" s="85"/>
      <c r="AT391" s="85"/>
      <c r="AU391" s="85"/>
      <c r="AX391" s="9"/>
      <c r="AY391" s="22"/>
    </row>
    <row r="392" spans="2:52" ht="15" x14ac:dyDescent="0.2">
      <c r="B392" s="74"/>
      <c r="C392" s="82"/>
      <c r="W392" s="49"/>
      <c r="AL392" s="5">
        <f>+AL194*AO194</f>
        <v>63957264.800000004</v>
      </c>
      <c r="AR392" s="85"/>
      <c r="AS392" s="85"/>
      <c r="AT392" s="85"/>
      <c r="AU392" s="85"/>
      <c r="AX392" s="9"/>
    </row>
    <row r="393" spans="2:52" ht="15" x14ac:dyDescent="0.2">
      <c r="B393" s="39" t="s">
        <v>1211</v>
      </c>
      <c r="C393" s="40">
        <f>+SUBTOTAL(9,C394:C399)</f>
        <v>153833965992.06</v>
      </c>
      <c r="V393" s="87"/>
      <c r="W393" s="49"/>
      <c r="AL393" s="5">
        <f>+AL392*AP194</f>
        <v>12151880.312000001</v>
      </c>
      <c r="AX393" s="9"/>
      <c r="AY393" s="22"/>
    </row>
    <row r="394" spans="2:52" ht="15" x14ac:dyDescent="0.2">
      <c r="B394" s="41" t="s">
        <v>61</v>
      </c>
      <c r="C394" s="42">
        <v>31685480988.23</v>
      </c>
      <c r="V394" s="87"/>
      <c r="W394" s="49"/>
    </row>
    <row r="395" spans="2:52" ht="15" x14ac:dyDescent="0.2">
      <c r="B395" s="43" t="s">
        <v>85</v>
      </c>
      <c r="C395" s="44">
        <v>10275078114.5</v>
      </c>
      <c r="V395" s="87"/>
      <c r="W395" s="49"/>
    </row>
    <row r="396" spans="2:52" ht="15" x14ac:dyDescent="0.2">
      <c r="B396" s="43" t="s">
        <v>480</v>
      </c>
      <c r="C396" s="44">
        <v>92834866697</v>
      </c>
      <c r="V396" s="87"/>
      <c r="W396" s="49"/>
    </row>
    <row r="397" spans="2:52" ht="15" x14ac:dyDescent="0.2">
      <c r="B397" s="45" t="s">
        <v>735</v>
      </c>
      <c r="C397" s="46">
        <v>2319779093.9000001</v>
      </c>
      <c r="V397" s="87"/>
      <c r="W397" s="49"/>
    </row>
    <row r="398" spans="2:52" ht="15" x14ac:dyDescent="0.2">
      <c r="B398" s="45" t="s">
        <v>573</v>
      </c>
      <c r="C398" s="46">
        <v>15970711676.43</v>
      </c>
      <c r="V398" s="87"/>
      <c r="W398" s="49"/>
    </row>
    <row r="399" spans="2:52" ht="15" x14ac:dyDescent="0.2">
      <c r="B399" s="47" t="s">
        <v>1164</v>
      </c>
      <c r="C399" s="48">
        <v>748049422</v>
      </c>
      <c r="V399" s="87"/>
      <c r="W399" s="49"/>
    </row>
    <row r="401" spans="35:53" x14ac:dyDescent="0.15">
      <c r="AI401" s="88"/>
      <c r="AJ401" s="88"/>
      <c r="AK401" s="88"/>
      <c r="AM401" s="86"/>
      <c r="AN401" s="89"/>
      <c r="AO401" s="89"/>
      <c r="AP401" s="89"/>
      <c r="AQ401" s="89"/>
      <c r="AR401" s="88"/>
      <c r="AS401" s="88"/>
      <c r="AT401" s="88"/>
      <c r="AU401" s="88"/>
      <c r="AY401" s="11"/>
    </row>
    <row r="402" spans="35:53" x14ac:dyDescent="0.15">
      <c r="AI402" s="88"/>
      <c r="AJ402" s="88"/>
      <c r="AK402" s="88"/>
      <c r="AL402" s="88"/>
      <c r="AM402" s="86"/>
      <c r="AN402" s="89"/>
      <c r="AO402" s="89"/>
      <c r="AP402" s="89"/>
      <c r="AQ402" s="89"/>
      <c r="AR402" s="88"/>
      <c r="AS402" s="88"/>
      <c r="AT402" s="88"/>
      <c r="AU402" s="88"/>
      <c r="AY402" s="11"/>
    </row>
    <row r="403" spans="35:53" x14ac:dyDescent="0.15">
      <c r="AI403" s="88"/>
      <c r="AJ403" s="88"/>
      <c r="AK403" s="88"/>
      <c r="AL403" s="88"/>
      <c r="AM403" s="86"/>
      <c r="AN403" s="89"/>
      <c r="AO403" s="89"/>
      <c r="AP403" s="89"/>
      <c r="AQ403" s="89"/>
      <c r="AR403" s="88"/>
      <c r="AS403" s="88"/>
      <c r="AT403" s="88"/>
      <c r="AU403" s="88"/>
      <c r="AY403" s="11"/>
    </row>
    <row r="404" spans="35:53" x14ac:dyDescent="0.15">
      <c r="AI404" s="88"/>
      <c r="AJ404" s="88"/>
      <c r="AK404" s="88"/>
      <c r="AL404" s="88"/>
      <c r="AM404" s="86"/>
      <c r="AN404" s="89"/>
      <c r="AO404" s="89"/>
      <c r="AP404" s="89"/>
      <c r="AQ404" s="89"/>
      <c r="AR404" s="88"/>
      <c r="AS404" s="88"/>
      <c r="AT404" s="88"/>
      <c r="AU404" s="88"/>
      <c r="AY404" s="11"/>
    </row>
    <row r="405" spans="35:53" x14ac:dyDescent="0.15">
      <c r="AI405" s="88"/>
      <c r="AJ405" s="88"/>
      <c r="AK405" s="88"/>
      <c r="AL405" s="88"/>
      <c r="AM405" s="86"/>
      <c r="AN405" s="89"/>
      <c r="AO405" s="89"/>
      <c r="AP405" s="89"/>
      <c r="AQ405" s="89"/>
      <c r="AR405" s="88"/>
      <c r="AS405" s="88"/>
      <c r="AT405" s="88"/>
      <c r="AU405" s="88"/>
      <c r="AY405" s="90"/>
      <c r="AZ405" s="91"/>
      <c r="BA405" s="92"/>
    </row>
    <row r="406" spans="35:53" x14ac:dyDescent="0.15">
      <c r="AI406" s="88"/>
      <c r="AJ406" s="88"/>
      <c r="AK406" s="88"/>
      <c r="AL406" s="88"/>
      <c r="AM406" s="86"/>
      <c r="AN406" s="89"/>
      <c r="AO406" s="89"/>
      <c r="AP406" s="89"/>
      <c r="AQ406" s="89"/>
      <c r="AR406" s="88"/>
      <c r="AS406" s="88"/>
      <c r="AT406" s="88"/>
      <c r="AU406" s="88"/>
      <c r="AY406" s="93"/>
      <c r="AZ406" s="94"/>
      <c r="BA406" s="95"/>
    </row>
    <row r="407" spans="35:53" x14ac:dyDescent="0.15">
      <c r="AI407" s="88"/>
      <c r="AJ407" s="88"/>
      <c r="AK407" s="88"/>
      <c r="AL407" s="88"/>
      <c r="AM407" s="86"/>
      <c r="AN407" s="89"/>
      <c r="AO407" s="89"/>
      <c r="AP407" s="89"/>
      <c r="AQ407" s="89"/>
      <c r="AR407" s="88"/>
      <c r="AS407" s="88"/>
      <c r="AT407" s="88"/>
      <c r="AU407" s="88"/>
    </row>
    <row r="411" spans="35:53" x14ac:dyDescent="0.15">
      <c r="AY411" s="11"/>
      <c r="AZ411" s="96"/>
    </row>
    <row r="412" spans="35:53" x14ac:dyDescent="0.15">
      <c r="AY412" s="12"/>
      <c r="AZ412" s="96"/>
    </row>
    <row r="416" spans="35:53" x14ac:dyDescent="0.15">
      <c r="AW416" s="1" t="s">
        <v>470</v>
      </c>
      <c r="AX416" s="11"/>
    </row>
    <row r="417" spans="50:50" x14ac:dyDescent="0.15">
      <c r="AX417" s="11"/>
    </row>
    <row r="418" spans="50:50" x14ac:dyDescent="0.15">
      <c r="AX418" s="11"/>
    </row>
    <row r="420" spans="50:50" x14ac:dyDescent="0.15">
      <c r="AX420" s="12"/>
    </row>
    <row r="421" spans="50:50" x14ac:dyDescent="0.15">
      <c r="AX421" s="12"/>
    </row>
    <row r="423" spans="50:50" x14ac:dyDescent="0.15">
      <c r="AX423" s="35"/>
    </row>
  </sheetData>
  <sheetProtection algorithmName="SHA-512" hashValue="R0ylv4zcKXzDMhJqJjl41k5EU0Gw0OxYp8R6X+nom8UOlYQy3bVzKvSxqQsShL4kK7l9D7hKTRA9i0XYAIer6g==" saltValue="k2xZBi1mb2BBH7DJ7+HIdQ==" spinCount="100000" sheet="1" objects="1" scenarios="1"/>
  <autoFilter ref="A4:BJ315" xr:uid="{4E29E1C5-4A1C-4ACE-94CD-C87980B925BF}"/>
  <mergeCells count="2">
    <mergeCell ref="F339:G339"/>
    <mergeCell ref="B1:BI1"/>
  </mergeCells>
  <dataValidations count="2">
    <dataValidation allowBlank="1" showInputMessage="1" showErrorMessage="1" errorTitle="Fecha final" error="No puede ser mayor a la del contrato con MINDEPORTE" sqref="L112:L121" xr:uid="{0A4C9FD1-2A4E-40B7-A1FE-64D29C384071}"/>
    <dataValidation type="list" allowBlank="1" showInputMessage="1" showErrorMessage="1" sqref="S105:S112 S122:S127 S120 S117 S114:S115 S135:S155 S157:S160 S5:S103 S165:S172 S174:S176 S178:S179 S185 S181:S182 S199:S200 S187:S197 S202:S229 S231:S232 S234:S281 S283:S317" xr:uid="{B8E17B0B-9A42-4220-9AC7-CF90435094A0}">
      <formula1>"Pública, Privada, Directa"</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BASE CDR</vt:lpstr>
      <vt:lpstr>labase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CAMILO RAMIREZ SIERRA</dc:creator>
  <cp:lastModifiedBy>Maria camila Duran ruiz</cp:lastModifiedBy>
  <dcterms:created xsi:type="dcterms:W3CDTF">2026-07-23T16:36:03Z</dcterms:created>
  <dcterms:modified xsi:type="dcterms:W3CDTF">2026-07-31T20:50:25Z</dcterms:modified>
</cp:coreProperties>
</file>